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Clemens\Desktop\"/>
    </mc:Choice>
  </mc:AlternateContent>
  <bookViews>
    <workbookView xWindow="0" yWindow="0" windowWidth="21585" windowHeight="9383" tabRatio="785"/>
  </bookViews>
  <sheets>
    <sheet name="FINANZPLAN" sheetId="8" r:id="rId1"/>
    <sheet name="DROPDOWN" sheetId="9" state="hidden" r:id="rId2"/>
    <sheet name="HISTORISCHE RENDITEN" sheetId="11" r:id="rId3"/>
    <sheet name="GRENZSTEUERSÄTZE" sheetId="10" r:id="rId4"/>
  </sheets>
  <externalReferences>
    <externalReference r:id="rId5"/>
  </externalReferences>
  <definedNames>
    <definedName name="Kategorie">[1]Dropdowns!$A$1:$A$160</definedName>
    <definedName name="Konten">[1]Dropdowns!$C:$C</definedName>
    <definedName name="Unterkategorie">[1]Dropdowns!$B:$B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76" i="8" l="1"/>
  <c r="CX76" i="8"/>
  <c r="CZ76" i="8"/>
  <c r="C43" i="8" l="1"/>
  <c r="C12" i="8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4" i="11"/>
  <c r="C4" i="11"/>
  <c r="D4" i="11" s="1"/>
  <c r="AI80" i="8"/>
  <c r="AD80" i="8" l="1"/>
  <c r="C5" i="11"/>
  <c r="CI80" i="8"/>
  <c r="CJ80" i="8" s="1"/>
  <c r="CM66" i="8"/>
  <c r="CK66" i="8"/>
  <c r="CI66" i="8"/>
  <c r="CM80" i="8"/>
  <c r="CN80" i="8" s="1"/>
  <c r="CM81" i="8" s="1"/>
  <c r="CK80" i="8"/>
  <c r="CZ80" i="8"/>
  <c r="DA80" i="8" s="1"/>
  <c r="CX80" i="8"/>
  <c r="CY80" i="8" s="1"/>
  <c r="CX81" i="8" s="1"/>
  <c r="GI80" i="8"/>
  <c r="GM80" i="8"/>
  <c r="GL80" i="8"/>
  <c r="GK80" i="8"/>
  <c r="GB80" i="8"/>
  <c r="GF97" i="8"/>
  <c r="GF87" i="8"/>
  <c r="GF86" i="8"/>
  <c r="GF85" i="8"/>
  <c r="GF84" i="8"/>
  <c r="GF83" i="8"/>
  <c r="GF82" i="8"/>
  <c r="GF81" i="8"/>
  <c r="GF80" i="8"/>
  <c r="FM80" i="8" s="1"/>
  <c r="EK87" i="8"/>
  <c r="EK86" i="8"/>
  <c r="EK85" i="8"/>
  <c r="EK84" i="8"/>
  <c r="EK83" i="8"/>
  <c r="EK82" i="8"/>
  <c r="EK81" i="8"/>
  <c r="EK80" i="8"/>
  <c r="DR80" i="8" s="1"/>
  <c r="GX80" i="8"/>
  <c r="GX81" i="8"/>
  <c r="GX82" i="8"/>
  <c r="GX83" i="8"/>
  <c r="GX84" i="8"/>
  <c r="GX85" i="8"/>
  <c r="GX86" i="8"/>
  <c r="GX87" i="8"/>
  <c r="FB87" i="8"/>
  <c r="FB86" i="8"/>
  <c r="FB85" i="8"/>
  <c r="FB84" i="8"/>
  <c r="FB83" i="8"/>
  <c r="FB82" i="8"/>
  <c r="FB81" i="8"/>
  <c r="FB80" i="8"/>
  <c r="EP80" i="8" s="1"/>
  <c r="CV80" i="8"/>
  <c r="CW80" i="8" s="1"/>
  <c r="D5" i="11" l="1"/>
  <c r="AD81" i="8" s="1"/>
  <c r="C6" i="11"/>
  <c r="EM80" i="8"/>
  <c r="CI81" i="8"/>
  <c r="CJ81" i="8" s="1"/>
  <c r="CI82" i="8" s="1"/>
  <c r="CN81" i="8"/>
  <c r="CM82" i="8" s="1"/>
  <c r="CL80" i="8"/>
  <c r="CK81" i="8" s="1"/>
  <c r="CZ81" i="8"/>
  <c r="C13" i="8"/>
  <c r="FB88" i="8" s="1"/>
  <c r="CV81" i="8"/>
  <c r="AF80" i="8"/>
  <c r="BG80" i="8" s="1"/>
  <c r="FJ80" i="8"/>
  <c r="FJ81" i="8" s="1"/>
  <c r="FJ82" i="8" s="1"/>
  <c r="FJ83" i="8" s="1"/>
  <c r="FJ84" i="8" s="1"/>
  <c r="FJ85" i="8" s="1"/>
  <c r="FJ86" i="8" s="1"/>
  <c r="GI81" i="8"/>
  <c r="DO80" i="8"/>
  <c r="DO81" i="8" s="1"/>
  <c r="DO82" i="8" s="1"/>
  <c r="DO83" i="8" s="1"/>
  <c r="DO84" i="8" s="1"/>
  <c r="DO85" i="8" s="1"/>
  <c r="DO86" i="8" s="1"/>
  <c r="DO87" i="8" s="1"/>
  <c r="DO88" i="8" s="1"/>
  <c r="GN80" i="8"/>
  <c r="GL81" i="8" s="1"/>
  <c r="BL80" i="8" l="1"/>
  <c r="BB80" i="8"/>
  <c r="BN80" i="8"/>
  <c r="BY80" i="8" s="1"/>
  <c r="C7" i="11"/>
  <c r="D6" i="11"/>
  <c r="AD82" i="8" s="1"/>
  <c r="BA80" i="8"/>
  <c r="BE80" i="8"/>
  <c r="AF81" i="8"/>
  <c r="GF88" i="8"/>
  <c r="EK88" i="8"/>
  <c r="GX88" i="8"/>
  <c r="CL81" i="8"/>
  <c r="CK82" i="8" s="1"/>
  <c r="CN82" i="8"/>
  <c r="CM83" i="8" s="1"/>
  <c r="CJ82" i="8"/>
  <c r="CI83" i="8" s="1"/>
  <c r="DA81" i="8"/>
  <c r="CZ82" i="8" s="1"/>
  <c r="CY81" i="8"/>
  <c r="CX82" i="8" s="1"/>
  <c r="CW81" i="8"/>
  <c r="CV82" i="8" s="1"/>
  <c r="AY80" i="8"/>
  <c r="EM81" i="8"/>
  <c r="GI82" i="8"/>
  <c r="GO80" i="8"/>
  <c r="GP80" i="8" s="1"/>
  <c r="DO89" i="8"/>
  <c r="FJ87" i="8"/>
  <c r="CB80" i="8" l="1"/>
  <c r="BL81" i="8"/>
  <c r="BN81" i="8"/>
  <c r="C8" i="11"/>
  <c r="D7" i="11"/>
  <c r="AD83" i="8" s="1"/>
  <c r="AF82" i="8"/>
  <c r="CJ83" i="8"/>
  <c r="CI84" i="8" s="1"/>
  <c r="CL82" i="8"/>
  <c r="CK83" i="8" s="1"/>
  <c r="CN83" i="8"/>
  <c r="CM84" i="8" s="1"/>
  <c r="DA82" i="8"/>
  <c r="CZ83" i="8" s="1"/>
  <c r="CY82" i="8"/>
  <c r="CX83" i="8" s="1"/>
  <c r="CW82" i="8"/>
  <c r="CV83" i="8" s="1"/>
  <c r="GQ80" i="8"/>
  <c r="GR80" i="8" s="1"/>
  <c r="GI83" i="8"/>
  <c r="EM82" i="8"/>
  <c r="DO90" i="8"/>
  <c r="FJ88" i="8"/>
  <c r="BL82" i="8" l="1"/>
  <c r="BN82" i="8"/>
  <c r="C9" i="11"/>
  <c r="D8" i="11"/>
  <c r="AD84" i="8" s="1"/>
  <c r="CH80" i="8"/>
  <c r="CJ84" i="8"/>
  <c r="CI85" i="8" s="1"/>
  <c r="CN84" i="8"/>
  <c r="CM85" i="8" s="1"/>
  <c r="CL83" i="8"/>
  <c r="CK84" i="8" s="1"/>
  <c r="DA83" i="8"/>
  <c r="CZ84" i="8" s="1"/>
  <c r="CY83" i="8"/>
  <c r="CX84" i="8" s="1"/>
  <c r="CW83" i="8"/>
  <c r="CV84" i="8" s="1"/>
  <c r="GS80" i="8"/>
  <c r="GI84" i="8"/>
  <c r="EM83" i="8"/>
  <c r="DO91" i="8"/>
  <c r="FJ89" i="8"/>
  <c r="C10" i="11" l="1"/>
  <c r="D9" i="11"/>
  <c r="AD85" i="8" s="1"/>
  <c r="CL84" i="8"/>
  <c r="CK85" i="8" s="1"/>
  <c r="CN85" i="8"/>
  <c r="CM86" i="8" s="1"/>
  <c r="CJ85" i="8"/>
  <c r="CI86" i="8" s="1"/>
  <c r="DA84" i="8"/>
  <c r="CZ85" i="8" s="1"/>
  <c r="CY84" i="8"/>
  <c r="CX85" i="8" s="1"/>
  <c r="CW84" i="8"/>
  <c r="CV85" i="8" s="1"/>
  <c r="EM84" i="8"/>
  <c r="GI85" i="8"/>
  <c r="DO92" i="8"/>
  <c r="FJ90" i="8"/>
  <c r="C11" i="11" l="1"/>
  <c r="D10" i="11"/>
  <c r="AD86" i="8" s="1"/>
  <c r="CJ86" i="8"/>
  <c r="CI87" i="8" s="1"/>
  <c r="CN86" i="8"/>
  <c r="CM87" i="8" s="1"/>
  <c r="CL85" i="8"/>
  <c r="CK86" i="8" s="1"/>
  <c r="DA85" i="8"/>
  <c r="CZ86" i="8" s="1"/>
  <c r="CY85" i="8"/>
  <c r="CX86" i="8" s="1"/>
  <c r="CW85" i="8"/>
  <c r="CV86" i="8" s="1"/>
  <c r="GI86" i="8"/>
  <c r="EM85" i="8"/>
  <c r="DO93" i="8"/>
  <c r="FJ91" i="8"/>
  <c r="C12" i="11" l="1"/>
  <c r="D11" i="11"/>
  <c r="AD87" i="8" s="1"/>
  <c r="CJ87" i="8"/>
  <c r="CI88" i="8" s="1"/>
  <c r="CL86" i="8"/>
  <c r="CK87" i="8" s="1"/>
  <c r="CN87" i="8"/>
  <c r="CM88" i="8" s="1"/>
  <c r="DA86" i="8"/>
  <c r="CZ87" i="8" s="1"/>
  <c r="CY86" i="8"/>
  <c r="CX87" i="8" s="1"/>
  <c r="CW86" i="8"/>
  <c r="CV87" i="8" s="1"/>
  <c r="EM86" i="8"/>
  <c r="GI87" i="8"/>
  <c r="DO94" i="8"/>
  <c r="FJ92" i="8"/>
  <c r="C13" i="11" l="1"/>
  <c r="D12" i="11"/>
  <c r="AD88" i="8" s="1"/>
  <c r="CL87" i="8"/>
  <c r="CK88" i="8" s="1"/>
  <c r="CN88" i="8"/>
  <c r="CM89" i="8" s="1"/>
  <c r="CJ88" i="8"/>
  <c r="CI89" i="8" s="1"/>
  <c r="DA87" i="8"/>
  <c r="CZ88" i="8" s="1"/>
  <c r="CY87" i="8"/>
  <c r="CX88" i="8" s="1"/>
  <c r="CW87" i="8"/>
  <c r="CV88" i="8" s="1"/>
  <c r="GI88" i="8"/>
  <c r="EM87" i="8"/>
  <c r="DO95" i="8"/>
  <c r="FJ93" i="8"/>
  <c r="C14" i="11" l="1"/>
  <c r="D13" i="11"/>
  <c r="AD89" i="8" s="1"/>
  <c r="CL88" i="8"/>
  <c r="CK89" i="8" s="1"/>
  <c r="CN89" i="8"/>
  <c r="CM90" i="8" s="1"/>
  <c r="CJ89" i="8"/>
  <c r="CI90" i="8" s="1"/>
  <c r="DA88" i="8"/>
  <c r="CZ89" i="8" s="1"/>
  <c r="CY88" i="8"/>
  <c r="CX89" i="8" s="1"/>
  <c r="CW88" i="8"/>
  <c r="CV89" i="8" s="1"/>
  <c r="EM88" i="8"/>
  <c r="GI89" i="8"/>
  <c r="DO96" i="8"/>
  <c r="FJ94" i="8"/>
  <c r="C15" i="11" l="1"/>
  <c r="D14" i="11"/>
  <c r="AD90" i="8" s="1"/>
  <c r="CJ90" i="8"/>
  <c r="CI91" i="8" s="1"/>
  <c r="CN90" i="8"/>
  <c r="CM91" i="8" s="1"/>
  <c r="CL89" i="8"/>
  <c r="CK90" i="8" s="1"/>
  <c r="DA89" i="8"/>
  <c r="CZ90" i="8" s="1"/>
  <c r="CY89" i="8"/>
  <c r="CX90" i="8" s="1"/>
  <c r="CW89" i="8"/>
  <c r="CV90" i="8" s="1"/>
  <c r="GI90" i="8"/>
  <c r="EM89" i="8"/>
  <c r="DO97" i="8"/>
  <c r="FJ95" i="8"/>
  <c r="C16" i="11" l="1"/>
  <c r="D15" i="11"/>
  <c r="AD91" i="8" s="1"/>
  <c r="CN91" i="8"/>
  <c r="CM92" i="8" s="1"/>
  <c r="CJ91" i="8"/>
  <c r="CI92" i="8" s="1"/>
  <c r="CL90" i="8"/>
  <c r="CK91" i="8" s="1"/>
  <c r="DA90" i="8"/>
  <c r="CZ91" i="8" s="1"/>
  <c r="CY90" i="8"/>
  <c r="CX91" i="8" s="1"/>
  <c r="CW90" i="8"/>
  <c r="CV91" i="8" s="1"/>
  <c r="GI91" i="8"/>
  <c r="EM90" i="8"/>
  <c r="DO98" i="8"/>
  <c r="FJ96" i="8"/>
  <c r="C17" i="11" l="1"/>
  <c r="D16" i="11"/>
  <c r="AD92" i="8" s="1"/>
  <c r="CL91" i="8"/>
  <c r="CK92" i="8" s="1"/>
  <c r="CJ92" i="8"/>
  <c r="CI93" i="8" s="1"/>
  <c r="CN92" i="8"/>
  <c r="CM93" i="8" s="1"/>
  <c r="DA91" i="8"/>
  <c r="CZ92" i="8" s="1"/>
  <c r="CY91" i="8"/>
  <c r="CX92" i="8" s="1"/>
  <c r="CW91" i="8"/>
  <c r="CV92" i="8" s="1"/>
  <c r="EM91" i="8"/>
  <c r="GI92" i="8"/>
  <c r="DO99" i="8"/>
  <c r="FJ97" i="8"/>
  <c r="C18" i="11" l="1"/>
  <c r="D17" i="11"/>
  <c r="AD93" i="8" s="1"/>
  <c r="CN93" i="8"/>
  <c r="CM94" i="8" s="1"/>
  <c r="CJ93" i="8"/>
  <c r="CI94" i="8" s="1"/>
  <c r="CL92" i="8"/>
  <c r="CK93" i="8" s="1"/>
  <c r="DA92" i="8"/>
  <c r="CZ93" i="8" s="1"/>
  <c r="CY92" i="8"/>
  <c r="CX93" i="8" s="1"/>
  <c r="CW92" i="8"/>
  <c r="CV93" i="8" s="1"/>
  <c r="GI93" i="8"/>
  <c r="EM92" i="8"/>
  <c r="DO100" i="8"/>
  <c r="FJ98" i="8"/>
  <c r="C19" i="11" l="1"/>
  <c r="D18" i="11"/>
  <c r="AD94" i="8" s="1"/>
  <c r="CJ94" i="8"/>
  <c r="CI95" i="8" s="1"/>
  <c r="CL93" i="8"/>
  <c r="CK94" i="8" s="1"/>
  <c r="CN94" i="8"/>
  <c r="CM95" i="8" s="1"/>
  <c r="DA93" i="8"/>
  <c r="CZ94" i="8" s="1"/>
  <c r="CY93" i="8"/>
  <c r="CX94" i="8" s="1"/>
  <c r="CW93" i="8"/>
  <c r="CV94" i="8" s="1"/>
  <c r="EM93" i="8"/>
  <c r="GI94" i="8"/>
  <c r="DO101" i="8"/>
  <c r="FJ99" i="8"/>
  <c r="C20" i="11" l="1"/>
  <c r="D19" i="11"/>
  <c r="AD95" i="8" s="1"/>
  <c r="CN95" i="8"/>
  <c r="CM96" i="8" s="1"/>
  <c r="CJ95" i="8"/>
  <c r="CI96" i="8" s="1"/>
  <c r="CL94" i="8"/>
  <c r="CK95" i="8" s="1"/>
  <c r="DA94" i="8"/>
  <c r="CZ95" i="8" s="1"/>
  <c r="CY94" i="8"/>
  <c r="CX95" i="8" s="1"/>
  <c r="CW94" i="8"/>
  <c r="CV95" i="8" s="1"/>
  <c r="GI95" i="8"/>
  <c r="EM94" i="8"/>
  <c r="DO102" i="8"/>
  <c r="FJ100" i="8"/>
  <c r="C21" i="11" l="1"/>
  <c r="D20" i="11"/>
  <c r="AD96" i="8" s="1"/>
  <c r="CJ96" i="8"/>
  <c r="CI97" i="8" s="1"/>
  <c r="CN96" i="8"/>
  <c r="CM97" i="8" s="1"/>
  <c r="CL95" i="8"/>
  <c r="CK96" i="8" s="1"/>
  <c r="DA95" i="8"/>
  <c r="CZ96" i="8" s="1"/>
  <c r="CY95" i="8"/>
  <c r="CX96" i="8" s="1"/>
  <c r="CW95" i="8"/>
  <c r="CV96" i="8" s="1"/>
  <c r="EM95" i="8"/>
  <c r="GI96" i="8"/>
  <c r="DO103" i="8"/>
  <c r="FJ101" i="8"/>
  <c r="C22" i="11" l="1"/>
  <c r="D21" i="11"/>
  <c r="AD97" i="8" s="1"/>
  <c r="CJ97" i="8"/>
  <c r="CI98" i="8" s="1"/>
  <c r="CL96" i="8"/>
  <c r="CK97" i="8" s="1"/>
  <c r="CN97" i="8"/>
  <c r="CM98" i="8" s="1"/>
  <c r="DA96" i="8"/>
  <c r="CZ97" i="8" s="1"/>
  <c r="CY96" i="8"/>
  <c r="CX97" i="8" s="1"/>
  <c r="CW96" i="8"/>
  <c r="CV97" i="8" s="1"/>
  <c r="EM96" i="8"/>
  <c r="GI97" i="8"/>
  <c r="DO104" i="8"/>
  <c r="FJ102" i="8"/>
  <c r="C23" i="11" l="1"/>
  <c r="D22" i="11"/>
  <c r="AD98" i="8" s="1"/>
  <c r="CN98" i="8"/>
  <c r="CM99" i="8" s="1"/>
  <c r="CL97" i="8"/>
  <c r="CK98" i="8" s="1"/>
  <c r="CJ98" i="8"/>
  <c r="CI99" i="8" s="1"/>
  <c r="DA97" i="8"/>
  <c r="CZ98" i="8" s="1"/>
  <c r="CY97" i="8"/>
  <c r="CX98" i="8" s="1"/>
  <c r="CW97" i="8"/>
  <c r="CV98" i="8" s="1"/>
  <c r="EM97" i="8"/>
  <c r="GI98" i="8"/>
  <c r="DO105" i="8"/>
  <c r="FJ103" i="8"/>
  <c r="C24" i="11" l="1"/>
  <c r="D23" i="11"/>
  <c r="AD99" i="8" s="1"/>
  <c r="CL98" i="8"/>
  <c r="CK99" i="8" s="1"/>
  <c r="CJ99" i="8"/>
  <c r="CI100" i="8" s="1"/>
  <c r="CN99" i="8"/>
  <c r="CM100" i="8" s="1"/>
  <c r="DA98" i="8"/>
  <c r="CZ99" i="8" s="1"/>
  <c r="CY98" i="8"/>
  <c r="CX99" i="8" s="1"/>
  <c r="CW98" i="8"/>
  <c r="CV99" i="8" s="1"/>
  <c r="GI99" i="8"/>
  <c r="EM98" i="8"/>
  <c r="DO106" i="8"/>
  <c r="FJ104" i="8"/>
  <c r="C25" i="11" l="1"/>
  <c r="D24" i="11"/>
  <c r="AD100" i="8" s="1"/>
  <c r="CJ100" i="8"/>
  <c r="CI101" i="8" s="1"/>
  <c r="CL99" i="8"/>
  <c r="CK100" i="8" s="1"/>
  <c r="CN100" i="8"/>
  <c r="CM101" i="8" s="1"/>
  <c r="DA99" i="8"/>
  <c r="CZ100" i="8" s="1"/>
  <c r="CY99" i="8"/>
  <c r="CX100" i="8" s="1"/>
  <c r="CW99" i="8"/>
  <c r="CV100" i="8" s="1"/>
  <c r="EM99" i="8"/>
  <c r="GI100" i="8"/>
  <c r="DO107" i="8"/>
  <c r="FJ105" i="8"/>
  <c r="C26" i="11" l="1"/>
  <c r="D25" i="11"/>
  <c r="AD101" i="8" s="1"/>
  <c r="CN101" i="8"/>
  <c r="CM102" i="8" s="1"/>
  <c r="CL100" i="8"/>
  <c r="CK101" i="8" s="1"/>
  <c r="CJ101" i="8"/>
  <c r="CI102" i="8" s="1"/>
  <c r="DA100" i="8"/>
  <c r="CZ101" i="8" s="1"/>
  <c r="CY100" i="8"/>
  <c r="CX101" i="8" s="1"/>
  <c r="CW100" i="8"/>
  <c r="CV101" i="8" s="1"/>
  <c r="EM100" i="8"/>
  <c r="GI101" i="8"/>
  <c r="DO108" i="8"/>
  <c r="FJ106" i="8"/>
  <c r="C27" i="11" l="1"/>
  <c r="D26" i="11"/>
  <c r="AD102" i="8" s="1"/>
  <c r="CJ102" i="8"/>
  <c r="CI103" i="8" s="1"/>
  <c r="CL101" i="8"/>
  <c r="CK102" i="8" s="1"/>
  <c r="CN102" i="8"/>
  <c r="CM103" i="8" s="1"/>
  <c r="DA101" i="8"/>
  <c r="CZ102" i="8" s="1"/>
  <c r="CY101" i="8"/>
  <c r="CX102" i="8" s="1"/>
  <c r="CW101" i="8"/>
  <c r="CV102" i="8" s="1"/>
  <c r="GI102" i="8"/>
  <c r="EM101" i="8"/>
  <c r="DO109" i="8"/>
  <c r="FJ107" i="8"/>
  <c r="C28" i="11" l="1"/>
  <c r="D27" i="11"/>
  <c r="AD103" i="8" s="1"/>
  <c r="CJ103" i="8"/>
  <c r="CI104" i="8" s="1"/>
  <c r="CN103" i="8"/>
  <c r="CM104" i="8" s="1"/>
  <c r="CL102" i="8"/>
  <c r="CK103" i="8" s="1"/>
  <c r="DA102" i="8"/>
  <c r="CZ103" i="8" s="1"/>
  <c r="CY102" i="8"/>
  <c r="CX103" i="8" s="1"/>
  <c r="CW102" i="8"/>
  <c r="CV103" i="8" s="1"/>
  <c r="EM102" i="8"/>
  <c r="GI103" i="8"/>
  <c r="DO110" i="8"/>
  <c r="FJ108" i="8"/>
  <c r="C29" i="11" l="1"/>
  <c r="D28" i="11"/>
  <c r="AD104" i="8" s="1"/>
  <c r="CN104" i="8"/>
  <c r="CM105" i="8" s="1"/>
  <c r="CL103" i="8"/>
  <c r="CK104" i="8" s="1"/>
  <c r="CJ104" i="8"/>
  <c r="CI105" i="8" s="1"/>
  <c r="DA103" i="8"/>
  <c r="CZ104" i="8" s="1"/>
  <c r="CY103" i="8"/>
  <c r="CX104" i="8" s="1"/>
  <c r="CW103" i="8"/>
  <c r="CV104" i="8" s="1"/>
  <c r="GI104" i="8"/>
  <c r="EM103" i="8"/>
  <c r="EM104" i="8" s="1"/>
  <c r="DO111" i="8"/>
  <c r="FJ109" i="8"/>
  <c r="C30" i="11" l="1"/>
  <c r="D29" i="11"/>
  <c r="AD105" i="8" s="1"/>
  <c r="CL104" i="8"/>
  <c r="CK105" i="8" s="1"/>
  <c r="CJ105" i="8"/>
  <c r="CI106" i="8" s="1"/>
  <c r="CN105" i="8"/>
  <c r="CM106" i="8" s="1"/>
  <c r="DA104" i="8"/>
  <c r="CZ105" i="8" s="1"/>
  <c r="CY104" i="8"/>
  <c r="CX105" i="8" s="1"/>
  <c r="CW104" i="8"/>
  <c r="CV105" i="8" s="1"/>
  <c r="EM105" i="8"/>
  <c r="GI105" i="8"/>
  <c r="DO112" i="8"/>
  <c r="FJ110" i="8"/>
  <c r="C31" i="11" l="1"/>
  <c r="D30" i="11"/>
  <c r="AD106" i="8" s="1"/>
  <c r="CJ106" i="8"/>
  <c r="CI107" i="8" s="1"/>
  <c r="CL105" i="8"/>
  <c r="CK106" i="8" s="1"/>
  <c r="CN106" i="8"/>
  <c r="CM107" i="8" s="1"/>
  <c r="DA105" i="8"/>
  <c r="CZ106" i="8" s="1"/>
  <c r="CY105" i="8"/>
  <c r="CX106" i="8" s="1"/>
  <c r="CW105" i="8"/>
  <c r="CV106" i="8" s="1"/>
  <c r="EM106" i="8"/>
  <c r="GI106" i="8"/>
  <c r="DO113" i="8"/>
  <c r="FJ111" i="8"/>
  <c r="C32" i="11" l="1"/>
  <c r="D31" i="11"/>
  <c r="AD107" i="8" s="1"/>
  <c r="CN107" i="8"/>
  <c r="CM108" i="8" s="1"/>
  <c r="CJ107" i="8"/>
  <c r="CI108" i="8" s="1"/>
  <c r="CL106" i="8"/>
  <c r="CK107" i="8" s="1"/>
  <c r="DA106" i="8"/>
  <c r="CZ107" i="8" s="1"/>
  <c r="CY106" i="8"/>
  <c r="CX107" i="8" s="1"/>
  <c r="CW106" i="8"/>
  <c r="CV107" i="8" s="1"/>
  <c r="GI107" i="8"/>
  <c r="EM107" i="8"/>
  <c r="DO114" i="8"/>
  <c r="FJ112" i="8"/>
  <c r="C33" i="11" l="1"/>
  <c r="D32" i="11"/>
  <c r="AD108" i="8" s="1"/>
  <c r="CL107" i="8"/>
  <c r="CK108" i="8" s="1"/>
  <c r="CJ108" i="8"/>
  <c r="CI109" i="8" s="1"/>
  <c r="CN108" i="8"/>
  <c r="CM109" i="8" s="1"/>
  <c r="DA107" i="8"/>
  <c r="CZ108" i="8" s="1"/>
  <c r="CY107" i="8"/>
  <c r="CX108" i="8" s="1"/>
  <c r="CW107" i="8"/>
  <c r="CV108" i="8" s="1"/>
  <c r="EM108" i="8"/>
  <c r="GI108" i="8"/>
  <c r="DO115" i="8"/>
  <c r="FJ113" i="8"/>
  <c r="C34" i="11" l="1"/>
  <c r="D33" i="11"/>
  <c r="AD109" i="8" s="1"/>
  <c r="CJ109" i="8"/>
  <c r="CI110" i="8" s="1"/>
  <c r="CN109" i="8"/>
  <c r="CM110" i="8" s="1"/>
  <c r="CL108" i="8"/>
  <c r="CK109" i="8" s="1"/>
  <c r="DA108" i="8"/>
  <c r="CZ109" i="8" s="1"/>
  <c r="CY108" i="8"/>
  <c r="CX109" i="8" s="1"/>
  <c r="CW108" i="8"/>
  <c r="CV109" i="8" s="1"/>
  <c r="GI109" i="8"/>
  <c r="EM109" i="8"/>
  <c r="DO116" i="8"/>
  <c r="FJ114" i="8"/>
  <c r="C35" i="11" l="1"/>
  <c r="D34" i="11"/>
  <c r="AD110" i="8" s="1"/>
  <c r="CN110" i="8"/>
  <c r="CM111" i="8" s="1"/>
  <c r="CJ110" i="8"/>
  <c r="CI111" i="8" s="1"/>
  <c r="CL109" i="8"/>
  <c r="CK110" i="8" s="1"/>
  <c r="DA109" i="8"/>
  <c r="CZ110" i="8" s="1"/>
  <c r="CY109" i="8"/>
  <c r="CX110" i="8" s="1"/>
  <c r="CW109" i="8"/>
  <c r="CV110" i="8" s="1"/>
  <c r="EM110" i="8"/>
  <c r="GI110" i="8"/>
  <c r="DO117" i="8"/>
  <c r="FJ115" i="8"/>
  <c r="C36" i="11" l="1"/>
  <c r="D35" i="11"/>
  <c r="AD111" i="8" s="1"/>
  <c r="CL110" i="8"/>
  <c r="CK111" i="8" s="1"/>
  <c r="CN111" i="8"/>
  <c r="CM112" i="8" s="1"/>
  <c r="CJ111" i="8"/>
  <c r="CI112" i="8" s="1"/>
  <c r="DA110" i="8"/>
  <c r="CZ111" i="8" s="1"/>
  <c r="CY110" i="8"/>
  <c r="CX111" i="8" s="1"/>
  <c r="CW110" i="8"/>
  <c r="CV111" i="8" s="1"/>
  <c r="GI111" i="8"/>
  <c r="EM111" i="8"/>
  <c r="DO118" i="8"/>
  <c r="FJ116" i="8"/>
  <c r="C37" i="11" l="1"/>
  <c r="D36" i="11"/>
  <c r="AD112" i="8" s="1"/>
  <c r="CJ112" i="8"/>
  <c r="CI113" i="8" s="1"/>
  <c r="CN112" i="8"/>
  <c r="CM113" i="8" s="1"/>
  <c r="CL111" i="8"/>
  <c r="CK112" i="8" s="1"/>
  <c r="DA111" i="8"/>
  <c r="CZ112" i="8" s="1"/>
  <c r="CY111" i="8"/>
  <c r="CX112" i="8" s="1"/>
  <c r="CW111" i="8"/>
  <c r="CV112" i="8" s="1"/>
  <c r="EM112" i="8"/>
  <c r="GI112" i="8"/>
  <c r="DO119" i="8"/>
  <c r="FJ117" i="8"/>
  <c r="C38" i="11" l="1"/>
  <c r="D37" i="11"/>
  <c r="AD113" i="8" s="1"/>
  <c r="CN113" i="8"/>
  <c r="CM114" i="8" s="1"/>
  <c r="CJ113" i="8"/>
  <c r="CI114" i="8" s="1"/>
  <c r="CL112" i="8"/>
  <c r="CK113" i="8" s="1"/>
  <c r="DA112" i="8"/>
  <c r="CZ113" i="8" s="1"/>
  <c r="CY112" i="8"/>
  <c r="CX113" i="8" s="1"/>
  <c r="CW112" i="8"/>
  <c r="CV113" i="8" s="1"/>
  <c r="EM113" i="8"/>
  <c r="GI113" i="8"/>
  <c r="DO120" i="8"/>
  <c r="FJ118" i="8"/>
  <c r="C39" i="11" l="1"/>
  <c r="D38" i="11"/>
  <c r="AD114" i="8" s="1"/>
  <c r="CL113" i="8"/>
  <c r="CK114" i="8" s="1"/>
  <c r="CN114" i="8"/>
  <c r="CM115" i="8" s="1"/>
  <c r="CJ114" i="8"/>
  <c r="CI115" i="8" s="1"/>
  <c r="DA113" i="8"/>
  <c r="CZ114" i="8" s="1"/>
  <c r="CY113" i="8"/>
  <c r="CX114" i="8" s="1"/>
  <c r="CW113" i="8"/>
  <c r="CV114" i="8" s="1"/>
  <c r="EM114" i="8"/>
  <c r="GI114" i="8"/>
  <c r="DO121" i="8"/>
  <c r="FJ119" i="8"/>
  <c r="C40" i="11" l="1"/>
  <c r="D39" i="11"/>
  <c r="AD115" i="8" s="1"/>
  <c r="CN115" i="8"/>
  <c r="CM116" i="8" s="1"/>
  <c r="CJ115" i="8"/>
  <c r="CI116" i="8" s="1"/>
  <c r="CL114" i="8"/>
  <c r="CK115" i="8" s="1"/>
  <c r="DA114" i="8"/>
  <c r="CZ115" i="8" s="1"/>
  <c r="CY114" i="8"/>
  <c r="CX115" i="8" s="1"/>
  <c r="CW114" i="8"/>
  <c r="CV115" i="8" s="1"/>
  <c r="GI115" i="8"/>
  <c r="EM115" i="8"/>
  <c r="DO122" i="8"/>
  <c r="FJ120" i="8"/>
  <c r="C41" i="11" l="1"/>
  <c r="D40" i="11"/>
  <c r="AD116" i="8" s="1"/>
  <c r="CL115" i="8"/>
  <c r="CK116" i="8" s="1"/>
  <c r="CJ116" i="8"/>
  <c r="CI117" i="8" s="1"/>
  <c r="CN116" i="8"/>
  <c r="CM117" i="8" s="1"/>
  <c r="DA115" i="8"/>
  <c r="CZ116" i="8" s="1"/>
  <c r="CY115" i="8"/>
  <c r="CX116" i="8" s="1"/>
  <c r="CW115" i="8"/>
  <c r="CV116" i="8" s="1"/>
  <c r="EM116" i="8"/>
  <c r="GI116" i="8"/>
  <c r="DO123" i="8"/>
  <c r="FJ121" i="8"/>
  <c r="C42" i="11" l="1"/>
  <c r="D41" i="11"/>
  <c r="AD117" i="8" s="1"/>
  <c r="CN117" i="8"/>
  <c r="CM118" i="8" s="1"/>
  <c r="CL116" i="8"/>
  <c r="CK117" i="8" s="1"/>
  <c r="CJ117" i="8"/>
  <c r="CI118" i="8" s="1"/>
  <c r="DA116" i="8"/>
  <c r="CZ117" i="8" s="1"/>
  <c r="CY116" i="8"/>
  <c r="CX117" i="8" s="1"/>
  <c r="CW116" i="8"/>
  <c r="CV117" i="8" s="1"/>
  <c r="GI117" i="8"/>
  <c r="EM117" i="8"/>
  <c r="DO124" i="8"/>
  <c r="FJ122" i="8"/>
  <c r="C43" i="11" l="1"/>
  <c r="D42" i="11"/>
  <c r="AD118" i="8" s="1"/>
  <c r="CN118" i="8"/>
  <c r="CM119" i="8" s="1"/>
  <c r="CJ118" i="8"/>
  <c r="CI119" i="8" s="1"/>
  <c r="CL117" i="8"/>
  <c r="CK118" i="8" s="1"/>
  <c r="DA117" i="8"/>
  <c r="CZ118" i="8" s="1"/>
  <c r="CY117" i="8"/>
  <c r="CX118" i="8" s="1"/>
  <c r="CW117" i="8"/>
  <c r="CV118" i="8" s="1"/>
  <c r="EM118" i="8"/>
  <c r="GI118" i="8"/>
  <c r="DO125" i="8"/>
  <c r="FJ123" i="8"/>
  <c r="C44" i="11" l="1"/>
  <c r="D43" i="11"/>
  <c r="AD119" i="8" s="1"/>
  <c r="CJ119" i="8"/>
  <c r="CI120" i="8" s="1"/>
  <c r="CL118" i="8"/>
  <c r="CK119" i="8" s="1"/>
  <c r="CN119" i="8"/>
  <c r="CM120" i="8" s="1"/>
  <c r="DA118" i="8"/>
  <c r="CZ119" i="8" s="1"/>
  <c r="CY118" i="8"/>
  <c r="CX119" i="8" s="1"/>
  <c r="CW118" i="8"/>
  <c r="CV119" i="8" s="1"/>
  <c r="EM119" i="8"/>
  <c r="GI119" i="8"/>
  <c r="DO126" i="8"/>
  <c r="FJ124" i="8"/>
  <c r="C45" i="11" l="1"/>
  <c r="D44" i="11"/>
  <c r="AD120" i="8" s="1"/>
  <c r="CN120" i="8"/>
  <c r="CM121" i="8" s="1"/>
  <c r="CJ120" i="8"/>
  <c r="CI121" i="8" s="1"/>
  <c r="CL119" i="8"/>
  <c r="CK120" i="8" s="1"/>
  <c r="DA119" i="8"/>
  <c r="CZ120" i="8" s="1"/>
  <c r="CY119" i="8"/>
  <c r="CX120" i="8" s="1"/>
  <c r="CW119" i="8"/>
  <c r="CV120" i="8" s="1"/>
  <c r="GI120" i="8"/>
  <c r="EM120" i="8"/>
  <c r="DO127" i="8"/>
  <c r="FJ125" i="8"/>
  <c r="C46" i="11" l="1"/>
  <c r="D45" i="11"/>
  <c r="AD121" i="8" s="1"/>
  <c r="CL120" i="8"/>
  <c r="CK121" i="8" s="1"/>
  <c r="CJ121" i="8"/>
  <c r="CI122" i="8" s="1"/>
  <c r="CN121" i="8"/>
  <c r="CM122" i="8" s="1"/>
  <c r="DA120" i="8"/>
  <c r="CZ121" i="8" s="1"/>
  <c r="CY120" i="8"/>
  <c r="CX121" i="8" s="1"/>
  <c r="CW120" i="8"/>
  <c r="CV121" i="8" s="1"/>
  <c r="GI121" i="8"/>
  <c r="EM121" i="8"/>
  <c r="DO128" i="8"/>
  <c r="FJ126" i="8"/>
  <c r="C47" i="11" l="1"/>
  <c r="D46" i="11"/>
  <c r="AD122" i="8" s="1"/>
  <c r="CJ122" i="8"/>
  <c r="CI123" i="8" s="1"/>
  <c r="CN122" i="8"/>
  <c r="CM123" i="8" s="1"/>
  <c r="CL121" i="8"/>
  <c r="CK122" i="8" s="1"/>
  <c r="DA121" i="8"/>
  <c r="CZ122" i="8" s="1"/>
  <c r="CY121" i="8"/>
  <c r="CX122" i="8" s="1"/>
  <c r="CW121" i="8"/>
  <c r="CV122" i="8" s="1"/>
  <c r="EM122" i="8"/>
  <c r="GI122" i="8"/>
  <c r="DO129" i="8"/>
  <c r="FJ127" i="8"/>
  <c r="C48" i="11" l="1"/>
  <c r="D47" i="11"/>
  <c r="AD123" i="8" s="1"/>
  <c r="CN123" i="8"/>
  <c r="CM124" i="8" s="1"/>
  <c r="CJ123" i="8"/>
  <c r="CI124" i="8" s="1"/>
  <c r="CL122" i="8"/>
  <c r="CK123" i="8" s="1"/>
  <c r="DA122" i="8"/>
  <c r="CZ123" i="8" s="1"/>
  <c r="CY122" i="8"/>
  <c r="CX123" i="8" s="1"/>
  <c r="CW122" i="8"/>
  <c r="CV123" i="8" s="1"/>
  <c r="EM123" i="8"/>
  <c r="GI123" i="8"/>
  <c r="DO130" i="8"/>
  <c r="FJ128" i="8"/>
  <c r="C49" i="11" l="1"/>
  <c r="D48" i="11"/>
  <c r="AD124" i="8" s="1"/>
  <c r="CL123" i="8"/>
  <c r="CK124" i="8" s="1"/>
  <c r="CJ124" i="8"/>
  <c r="CI125" i="8" s="1"/>
  <c r="CN124" i="8"/>
  <c r="CM125" i="8" s="1"/>
  <c r="DA123" i="8"/>
  <c r="CZ124" i="8" s="1"/>
  <c r="CY123" i="8"/>
  <c r="CX124" i="8" s="1"/>
  <c r="CW123" i="8"/>
  <c r="CV124" i="8" s="1"/>
  <c r="EN123" i="8"/>
  <c r="EM124" i="8"/>
  <c r="GI124" i="8"/>
  <c r="DO131" i="8"/>
  <c r="FJ129" i="8"/>
  <c r="C50" i="11" l="1"/>
  <c r="D49" i="11"/>
  <c r="AD125" i="8" s="1"/>
  <c r="CL124" i="8"/>
  <c r="CK125" i="8" s="1"/>
  <c r="CN125" i="8"/>
  <c r="CM126" i="8" s="1"/>
  <c r="CJ125" i="8"/>
  <c r="CI126" i="8" s="1"/>
  <c r="DA124" i="8"/>
  <c r="CZ125" i="8" s="1"/>
  <c r="CY124" i="8"/>
  <c r="CX125" i="8" s="1"/>
  <c r="CW124" i="8"/>
  <c r="CV125" i="8" s="1"/>
  <c r="EN124" i="8"/>
  <c r="EM125" i="8"/>
  <c r="GI125" i="8"/>
  <c r="DO132" i="8"/>
  <c r="FJ130" i="8"/>
  <c r="C51" i="11" l="1"/>
  <c r="D50" i="11"/>
  <c r="AD126" i="8" s="1"/>
  <c r="CJ126" i="8"/>
  <c r="CI127" i="8" s="1"/>
  <c r="CN126" i="8"/>
  <c r="CM127" i="8" s="1"/>
  <c r="CL125" i="8"/>
  <c r="CK126" i="8" s="1"/>
  <c r="DA125" i="8"/>
  <c r="CZ126" i="8" s="1"/>
  <c r="CY125" i="8"/>
  <c r="CX126" i="8" s="1"/>
  <c r="CW125" i="8"/>
  <c r="CV126" i="8" s="1"/>
  <c r="EN125" i="8"/>
  <c r="EM126" i="8"/>
  <c r="GI126" i="8"/>
  <c r="DO133" i="8"/>
  <c r="FJ131" i="8"/>
  <c r="C52" i="11" l="1"/>
  <c r="D51" i="11"/>
  <c r="AD127" i="8" s="1"/>
  <c r="CL126" i="8"/>
  <c r="CK127" i="8" s="1"/>
  <c r="CN127" i="8"/>
  <c r="CM128" i="8" s="1"/>
  <c r="CJ127" i="8"/>
  <c r="CI128" i="8" s="1"/>
  <c r="DA126" i="8"/>
  <c r="CZ127" i="8" s="1"/>
  <c r="CY126" i="8"/>
  <c r="CX127" i="8" s="1"/>
  <c r="CW126" i="8"/>
  <c r="CV127" i="8" s="1"/>
  <c r="EN126" i="8"/>
  <c r="EM127" i="8"/>
  <c r="GI127" i="8"/>
  <c r="DO134" i="8"/>
  <c r="FJ132" i="8"/>
  <c r="C53" i="11" l="1"/>
  <c r="D52" i="11"/>
  <c r="AD128" i="8" s="1"/>
  <c r="CN128" i="8"/>
  <c r="CM129" i="8" s="1"/>
  <c r="CL127" i="8"/>
  <c r="CK128" i="8" s="1"/>
  <c r="CJ128" i="8"/>
  <c r="CI129" i="8" s="1"/>
  <c r="DA127" i="8"/>
  <c r="CZ128" i="8" s="1"/>
  <c r="CY127" i="8"/>
  <c r="CX128" i="8" s="1"/>
  <c r="CW127" i="8"/>
  <c r="CV128" i="8" s="1"/>
  <c r="EN127" i="8"/>
  <c r="EM128" i="8"/>
  <c r="GI128" i="8"/>
  <c r="DO135" i="8"/>
  <c r="FJ133" i="8"/>
  <c r="C54" i="11" l="1"/>
  <c r="D53" i="11"/>
  <c r="AD129" i="8" s="1"/>
  <c r="CJ129" i="8"/>
  <c r="CI130" i="8" s="1"/>
  <c r="CN129" i="8"/>
  <c r="CM130" i="8" s="1"/>
  <c r="CL128" i="8"/>
  <c r="CK129" i="8" s="1"/>
  <c r="DA128" i="8"/>
  <c r="CZ129" i="8" s="1"/>
  <c r="CY128" i="8"/>
  <c r="CX129" i="8" s="1"/>
  <c r="CW128" i="8"/>
  <c r="CV129" i="8" s="1"/>
  <c r="EN128" i="8"/>
  <c r="EM129" i="8"/>
  <c r="GI129" i="8"/>
  <c r="DO136" i="8"/>
  <c r="FJ134" i="8"/>
  <c r="C55" i="11" l="1"/>
  <c r="D54" i="11"/>
  <c r="AD130" i="8" s="1"/>
  <c r="CL129" i="8"/>
  <c r="CK130" i="8" s="1"/>
  <c r="CN130" i="8"/>
  <c r="CM131" i="8" s="1"/>
  <c r="CJ130" i="8"/>
  <c r="CI131" i="8" s="1"/>
  <c r="DA129" i="8"/>
  <c r="CZ130" i="8" s="1"/>
  <c r="CY129" i="8"/>
  <c r="CX130" i="8" s="1"/>
  <c r="CW129" i="8"/>
  <c r="CV130" i="8" s="1"/>
  <c r="EN129" i="8"/>
  <c r="EM130" i="8"/>
  <c r="GI130" i="8"/>
  <c r="DO137" i="8"/>
  <c r="FJ135" i="8"/>
  <c r="C56" i="11" l="1"/>
  <c r="D55" i="11"/>
  <c r="AD131" i="8" s="1"/>
  <c r="CJ131" i="8"/>
  <c r="CI132" i="8" s="1"/>
  <c r="CL130" i="8"/>
  <c r="CK131" i="8" s="1"/>
  <c r="CN131" i="8"/>
  <c r="CM132" i="8" s="1"/>
  <c r="DA130" i="8"/>
  <c r="CZ131" i="8" s="1"/>
  <c r="CY130" i="8"/>
  <c r="CX131" i="8" s="1"/>
  <c r="CW130" i="8"/>
  <c r="CV131" i="8" s="1"/>
  <c r="GI131" i="8"/>
  <c r="EN130" i="8"/>
  <c r="EM131" i="8"/>
  <c r="DO138" i="8"/>
  <c r="FJ136" i="8"/>
  <c r="D56" i="11" l="1"/>
  <c r="AD132" i="8" s="1"/>
  <c r="C57" i="11"/>
  <c r="CJ132" i="8"/>
  <c r="CI133" i="8" s="1"/>
  <c r="CL131" i="8"/>
  <c r="CK132" i="8" s="1"/>
  <c r="CN132" i="8"/>
  <c r="CM133" i="8" s="1"/>
  <c r="DA131" i="8"/>
  <c r="CZ132" i="8" s="1"/>
  <c r="CY131" i="8"/>
  <c r="CX132" i="8" s="1"/>
  <c r="CW131" i="8"/>
  <c r="CV132" i="8" s="1"/>
  <c r="GI132" i="8"/>
  <c r="EN131" i="8"/>
  <c r="EM132" i="8"/>
  <c r="DO139" i="8"/>
  <c r="FJ137" i="8"/>
  <c r="C58" i="11" l="1"/>
  <c r="D57" i="11"/>
  <c r="AD133" i="8" s="1"/>
  <c r="CN133" i="8"/>
  <c r="CM134" i="8" s="1"/>
  <c r="CL132" i="8"/>
  <c r="CK133" i="8" s="1"/>
  <c r="CJ133" i="8"/>
  <c r="CI134" i="8" s="1"/>
  <c r="DA132" i="8"/>
  <c r="CZ133" i="8" s="1"/>
  <c r="CY132" i="8"/>
  <c r="CX133" i="8" s="1"/>
  <c r="CW132" i="8"/>
  <c r="CV133" i="8" s="1"/>
  <c r="EN132" i="8"/>
  <c r="EM133" i="8"/>
  <c r="GI133" i="8"/>
  <c r="DO140" i="8"/>
  <c r="FJ138" i="8"/>
  <c r="D58" i="11" l="1"/>
  <c r="AD134" i="8" s="1"/>
  <c r="C59" i="11"/>
  <c r="CL133" i="8"/>
  <c r="CK134" i="8" s="1"/>
  <c r="CJ134" i="8"/>
  <c r="CI135" i="8" s="1"/>
  <c r="CN134" i="8"/>
  <c r="CM135" i="8" s="1"/>
  <c r="DA133" i="8"/>
  <c r="CZ134" i="8" s="1"/>
  <c r="CY133" i="8"/>
  <c r="CX134" i="8" s="1"/>
  <c r="CW133" i="8"/>
  <c r="CV134" i="8" s="1"/>
  <c r="EN133" i="8"/>
  <c r="EM134" i="8"/>
  <c r="GI134" i="8"/>
  <c r="DO141" i="8"/>
  <c r="FJ139" i="8"/>
  <c r="D59" i="11" l="1"/>
  <c r="AD135" i="8" s="1"/>
  <c r="C60" i="11"/>
  <c r="CJ135" i="8"/>
  <c r="CI136" i="8" s="1"/>
  <c r="CN135" i="8"/>
  <c r="CM136" i="8" s="1"/>
  <c r="CL134" i="8"/>
  <c r="CK135" i="8" s="1"/>
  <c r="DA134" i="8"/>
  <c r="CZ135" i="8" s="1"/>
  <c r="CY134" i="8"/>
  <c r="CX135" i="8" s="1"/>
  <c r="CW134" i="8"/>
  <c r="CV135" i="8" s="1"/>
  <c r="EN134" i="8"/>
  <c r="EM135" i="8"/>
  <c r="GI135" i="8"/>
  <c r="DO142" i="8"/>
  <c r="FJ140" i="8"/>
  <c r="D60" i="11" l="1"/>
  <c r="AD136" i="8" s="1"/>
  <c r="C61" i="11"/>
  <c r="CN136" i="8"/>
  <c r="CM137" i="8" s="1"/>
  <c r="CL135" i="8"/>
  <c r="CK136" i="8" s="1"/>
  <c r="CJ136" i="8"/>
  <c r="CI137" i="8" s="1"/>
  <c r="DA135" i="8"/>
  <c r="CZ136" i="8" s="1"/>
  <c r="CY135" i="8"/>
  <c r="CX136" i="8" s="1"/>
  <c r="CW135" i="8"/>
  <c r="CV136" i="8" s="1"/>
  <c r="GI136" i="8"/>
  <c r="EN135" i="8"/>
  <c r="EM136" i="8"/>
  <c r="DO143" i="8"/>
  <c r="FJ141" i="8"/>
  <c r="D61" i="11" l="1"/>
  <c r="AD137" i="8" s="1"/>
  <c r="C62" i="11"/>
  <c r="CL136" i="8"/>
  <c r="CK137" i="8" s="1"/>
  <c r="CN137" i="8"/>
  <c r="CM138" i="8" s="1"/>
  <c r="CJ137" i="8"/>
  <c r="CI138" i="8" s="1"/>
  <c r="DA136" i="8"/>
  <c r="CZ137" i="8" s="1"/>
  <c r="CY136" i="8"/>
  <c r="CX137" i="8" s="1"/>
  <c r="CW136" i="8"/>
  <c r="CV137" i="8" s="1"/>
  <c r="GI137" i="8"/>
  <c r="EN136" i="8"/>
  <c r="EM137" i="8"/>
  <c r="DO144" i="8"/>
  <c r="FJ142" i="8"/>
  <c r="D62" i="11" l="1"/>
  <c r="AD138" i="8" s="1"/>
  <c r="C63" i="11"/>
  <c r="CJ138" i="8"/>
  <c r="CI139" i="8" s="1"/>
  <c r="CL137" i="8"/>
  <c r="CK138" i="8" s="1"/>
  <c r="CN138" i="8"/>
  <c r="CM139" i="8" s="1"/>
  <c r="DA137" i="8"/>
  <c r="CZ138" i="8" s="1"/>
  <c r="CY137" i="8"/>
  <c r="CX138" i="8" s="1"/>
  <c r="CW137" i="8"/>
  <c r="CV138" i="8" s="1"/>
  <c r="EN137" i="8"/>
  <c r="EM138" i="8"/>
  <c r="GI138" i="8"/>
  <c r="DO145" i="8"/>
  <c r="FJ143" i="8"/>
  <c r="D63" i="11" l="1"/>
  <c r="AD139" i="8" s="1"/>
  <c r="C64" i="11"/>
  <c r="CN139" i="8"/>
  <c r="CM140" i="8" s="1"/>
  <c r="CJ139" i="8"/>
  <c r="CI140" i="8" s="1"/>
  <c r="CL138" i="8"/>
  <c r="CK139" i="8" s="1"/>
  <c r="DA138" i="8"/>
  <c r="CZ139" i="8" s="1"/>
  <c r="CY138" i="8"/>
  <c r="CX139" i="8" s="1"/>
  <c r="CW138" i="8"/>
  <c r="CV139" i="8" s="1"/>
  <c r="GI139" i="8"/>
  <c r="EN138" i="8"/>
  <c r="EM139" i="8"/>
  <c r="DO146" i="8"/>
  <c r="FJ144" i="8"/>
  <c r="D64" i="11" l="1"/>
  <c r="AD140" i="8" s="1"/>
  <c r="C65" i="11"/>
  <c r="CL139" i="8"/>
  <c r="CK140" i="8" s="1"/>
  <c r="CJ140" i="8"/>
  <c r="CI141" i="8" s="1"/>
  <c r="CN140" i="8"/>
  <c r="CM141" i="8" s="1"/>
  <c r="DA139" i="8"/>
  <c r="CZ140" i="8" s="1"/>
  <c r="CY139" i="8"/>
  <c r="CX140" i="8" s="1"/>
  <c r="CW139" i="8"/>
  <c r="CV140" i="8" s="1"/>
  <c r="GI140" i="8"/>
  <c r="EN139" i="8"/>
  <c r="EM140" i="8"/>
  <c r="DO147" i="8"/>
  <c r="FJ145" i="8"/>
  <c r="D65" i="11" l="1"/>
  <c r="AD141" i="8" s="1"/>
  <c r="C66" i="11"/>
  <c r="CJ141" i="8"/>
  <c r="CI142" i="8" s="1"/>
  <c r="CL140" i="8"/>
  <c r="CK141" i="8" s="1"/>
  <c r="CN141" i="8"/>
  <c r="CM142" i="8" s="1"/>
  <c r="DA140" i="8"/>
  <c r="CZ141" i="8" s="1"/>
  <c r="CY140" i="8"/>
  <c r="CX141" i="8" s="1"/>
  <c r="CW140" i="8"/>
  <c r="CV141" i="8" s="1"/>
  <c r="GI141" i="8"/>
  <c r="EN140" i="8"/>
  <c r="EM141" i="8"/>
  <c r="DO148" i="8"/>
  <c r="FJ146" i="8"/>
  <c r="D66" i="11" l="1"/>
  <c r="AD142" i="8" s="1"/>
  <c r="C67" i="11"/>
  <c r="CN142" i="8"/>
  <c r="CM143" i="8" s="1"/>
  <c r="CJ142" i="8"/>
  <c r="CI143" i="8" s="1"/>
  <c r="CL141" i="8"/>
  <c r="CK142" i="8" s="1"/>
  <c r="DA141" i="8"/>
  <c r="CZ142" i="8" s="1"/>
  <c r="CY141" i="8"/>
  <c r="CX142" i="8" s="1"/>
  <c r="CW141" i="8"/>
  <c r="CV142" i="8" s="1"/>
  <c r="GI142" i="8"/>
  <c r="EN141" i="8"/>
  <c r="EM142" i="8"/>
  <c r="DO149" i="8"/>
  <c r="FJ147" i="8"/>
  <c r="D67" i="11" l="1"/>
  <c r="AD143" i="8" s="1"/>
  <c r="C68" i="11"/>
  <c r="CL142" i="8"/>
  <c r="CK143" i="8" s="1"/>
  <c r="CN143" i="8"/>
  <c r="CM144" i="8" s="1"/>
  <c r="CJ143" i="8"/>
  <c r="CI144" i="8" s="1"/>
  <c r="DA142" i="8"/>
  <c r="CZ143" i="8" s="1"/>
  <c r="CY142" i="8"/>
  <c r="CX143" i="8" s="1"/>
  <c r="CW142" i="8"/>
  <c r="CV143" i="8" s="1"/>
  <c r="EN142" i="8"/>
  <c r="EM143" i="8"/>
  <c r="GI143" i="8"/>
  <c r="DO150" i="8"/>
  <c r="FJ148" i="8"/>
  <c r="D68" i="11" l="1"/>
  <c r="AD144" i="8" s="1"/>
  <c r="C69" i="11"/>
  <c r="CN144" i="8"/>
  <c r="CM145" i="8" s="1"/>
  <c r="CJ144" i="8"/>
  <c r="CI145" i="8" s="1"/>
  <c r="CL143" i="8"/>
  <c r="CK144" i="8" s="1"/>
  <c r="DA143" i="8"/>
  <c r="CZ144" i="8" s="1"/>
  <c r="CY143" i="8"/>
  <c r="CX144" i="8" s="1"/>
  <c r="CW143" i="8"/>
  <c r="CV144" i="8" s="1"/>
  <c r="GI144" i="8"/>
  <c r="EN143" i="8"/>
  <c r="EM144" i="8"/>
  <c r="DO151" i="8"/>
  <c r="FJ149" i="8"/>
  <c r="D69" i="11" l="1"/>
  <c r="AD145" i="8" s="1"/>
  <c r="C70" i="11"/>
  <c r="CJ145" i="8"/>
  <c r="CI146" i="8" s="1"/>
  <c r="CN145" i="8"/>
  <c r="CM146" i="8" s="1"/>
  <c r="CL144" i="8"/>
  <c r="CK145" i="8" s="1"/>
  <c r="DA144" i="8"/>
  <c r="CZ145" i="8" s="1"/>
  <c r="CY144" i="8"/>
  <c r="CX145" i="8" s="1"/>
  <c r="CW144" i="8"/>
  <c r="CV145" i="8" s="1"/>
  <c r="GI145" i="8"/>
  <c r="EN144" i="8"/>
  <c r="EM145" i="8"/>
  <c r="DO152" i="8"/>
  <c r="FJ150" i="8"/>
  <c r="D70" i="11" l="1"/>
  <c r="AD146" i="8" s="1"/>
  <c r="C71" i="11"/>
  <c r="CL145" i="8"/>
  <c r="CK146" i="8" s="1"/>
  <c r="CN146" i="8"/>
  <c r="CM147" i="8" s="1"/>
  <c r="CJ146" i="8"/>
  <c r="CI147" i="8" s="1"/>
  <c r="DA145" i="8"/>
  <c r="CZ146" i="8" s="1"/>
  <c r="CY145" i="8"/>
  <c r="CX146" i="8" s="1"/>
  <c r="CW145" i="8"/>
  <c r="CV146" i="8" s="1"/>
  <c r="EN145" i="8"/>
  <c r="EM146" i="8"/>
  <c r="GI146" i="8"/>
  <c r="DO153" i="8"/>
  <c r="FJ151" i="8"/>
  <c r="D71" i="11" l="1"/>
  <c r="AD147" i="8" s="1"/>
  <c r="C72" i="11"/>
  <c r="CJ147" i="8"/>
  <c r="CI148" i="8" s="1"/>
  <c r="CN147" i="8"/>
  <c r="CM148" i="8" s="1"/>
  <c r="CL146" i="8"/>
  <c r="CK147" i="8" s="1"/>
  <c r="DA146" i="8"/>
  <c r="CZ147" i="8" s="1"/>
  <c r="CY146" i="8"/>
  <c r="CX147" i="8" s="1"/>
  <c r="CW146" i="8"/>
  <c r="CV147" i="8" s="1"/>
  <c r="GI147" i="8"/>
  <c r="EN146" i="8"/>
  <c r="EM147" i="8"/>
  <c r="DO154" i="8"/>
  <c r="FJ152" i="8"/>
  <c r="C73" i="11" l="1"/>
  <c r="D72" i="11"/>
  <c r="AD148" i="8" s="1"/>
  <c r="CN148" i="8"/>
  <c r="CM149" i="8" s="1"/>
  <c r="CJ148" i="8"/>
  <c r="CI149" i="8" s="1"/>
  <c r="CL147" i="8"/>
  <c r="CK148" i="8" s="1"/>
  <c r="DA147" i="8"/>
  <c r="CZ148" i="8" s="1"/>
  <c r="CY147" i="8"/>
  <c r="CX148" i="8" s="1"/>
  <c r="CW147" i="8"/>
  <c r="CV148" i="8" s="1"/>
  <c r="GI148" i="8"/>
  <c r="EN147" i="8"/>
  <c r="EM148" i="8"/>
  <c r="DO155" i="8"/>
  <c r="FJ153" i="8"/>
  <c r="D73" i="11" l="1"/>
  <c r="AD149" i="8" s="1"/>
  <c r="C74" i="11"/>
  <c r="CL148" i="8"/>
  <c r="CK149" i="8" s="1"/>
  <c r="CN149" i="8"/>
  <c r="CM150" i="8" s="1"/>
  <c r="CJ149" i="8"/>
  <c r="CI150" i="8" s="1"/>
  <c r="DA148" i="8"/>
  <c r="CZ149" i="8" s="1"/>
  <c r="CY148" i="8"/>
  <c r="CX149" i="8" s="1"/>
  <c r="CW148" i="8"/>
  <c r="CV149" i="8" s="1"/>
  <c r="GI149" i="8"/>
  <c r="EN148" i="8"/>
  <c r="EM149" i="8"/>
  <c r="DO156" i="8"/>
  <c r="FJ154" i="8"/>
  <c r="D74" i="11" l="1"/>
  <c r="AD150" i="8" s="1"/>
  <c r="C75" i="11"/>
  <c r="CL149" i="8"/>
  <c r="CK150" i="8" s="1"/>
  <c r="CN150" i="8"/>
  <c r="CM151" i="8" s="1"/>
  <c r="CJ150" i="8"/>
  <c r="CI151" i="8" s="1"/>
  <c r="DA149" i="8"/>
  <c r="CZ150" i="8" s="1"/>
  <c r="CY149" i="8"/>
  <c r="CX150" i="8" s="1"/>
  <c r="CW149" i="8"/>
  <c r="CV150" i="8" s="1"/>
  <c r="EN149" i="8"/>
  <c r="EM150" i="8"/>
  <c r="GI150" i="8"/>
  <c r="DO157" i="8"/>
  <c r="FJ155" i="8"/>
  <c r="D75" i="11" l="1"/>
  <c r="AD151" i="8" s="1"/>
  <c r="C76" i="11"/>
  <c r="CJ151" i="8"/>
  <c r="CI152" i="8" s="1"/>
  <c r="CN151" i="8"/>
  <c r="CM152" i="8" s="1"/>
  <c r="CL150" i="8"/>
  <c r="CK151" i="8" s="1"/>
  <c r="DA150" i="8"/>
  <c r="CZ151" i="8" s="1"/>
  <c r="CY150" i="8"/>
  <c r="CX151" i="8" s="1"/>
  <c r="CW150" i="8"/>
  <c r="CV151" i="8" s="1"/>
  <c r="GI151" i="8"/>
  <c r="EN150" i="8"/>
  <c r="EM151" i="8"/>
  <c r="DO158" i="8"/>
  <c r="DP157" i="8"/>
  <c r="FJ156" i="8"/>
  <c r="D76" i="11" l="1"/>
  <c r="AD152" i="8" s="1"/>
  <c r="C77" i="11"/>
  <c r="CN152" i="8"/>
  <c r="CM153" i="8" s="1"/>
  <c r="CL151" i="8"/>
  <c r="CK152" i="8" s="1"/>
  <c r="CJ152" i="8"/>
  <c r="CI153" i="8" s="1"/>
  <c r="DA151" i="8"/>
  <c r="CZ152" i="8" s="1"/>
  <c r="CY151" i="8"/>
  <c r="CX152" i="8" s="1"/>
  <c r="CW151" i="8"/>
  <c r="CV152" i="8" s="1"/>
  <c r="GI152" i="8"/>
  <c r="EN151" i="8"/>
  <c r="EM152" i="8"/>
  <c r="DP158" i="8"/>
  <c r="DO159" i="8"/>
  <c r="FJ157" i="8"/>
  <c r="D77" i="11" l="1"/>
  <c r="AD153" i="8" s="1"/>
  <c r="C78" i="11"/>
  <c r="CL152" i="8"/>
  <c r="CK153" i="8" s="1"/>
  <c r="CJ153" i="8"/>
  <c r="CI154" i="8" s="1"/>
  <c r="CN153" i="8"/>
  <c r="CM154" i="8" s="1"/>
  <c r="DA152" i="8"/>
  <c r="CZ153" i="8" s="1"/>
  <c r="CY152" i="8"/>
  <c r="CX153" i="8" s="1"/>
  <c r="CW152" i="8"/>
  <c r="CV153" i="8" s="1"/>
  <c r="GI153" i="8"/>
  <c r="EN152" i="8"/>
  <c r="EM153" i="8"/>
  <c r="DP159" i="8"/>
  <c r="DO160" i="8"/>
  <c r="FK157" i="8"/>
  <c r="FJ158" i="8"/>
  <c r="D78" i="11" l="1"/>
  <c r="AD154" i="8" s="1"/>
  <c r="C79" i="11"/>
  <c r="CJ154" i="8"/>
  <c r="CI155" i="8" s="1"/>
  <c r="CL153" i="8"/>
  <c r="CK154" i="8" s="1"/>
  <c r="CN154" i="8"/>
  <c r="CM155" i="8" s="1"/>
  <c r="DA153" i="8"/>
  <c r="CZ154" i="8" s="1"/>
  <c r="CY153" i="8"/>
  <c r="CX154" i="8" s="1"/>
  <c r="CW153" i="8"/>
  <c r="CV154" i="8" s="1"/>
  <c r="EN153" i="8"/>
  <c r="EM154" i="8"/>
  <c r="GI154" i="8"/>
  <c r="DP160" i="8"/>
  <c r="DO161" i="8"/>
  <c r="FK158" i="8"/>
  <c r="FJ159" i="8"/>
  <c r="D79" i="11" l="1"/>
  <c r="AD155" i="8" s="1"/>
  <c r="C80" i="11"/>
  <c r="CN155" i="8"/>
  <c r="CM156" i="8" s="1"/>
  <c r="CJ155" i="8"/>
  <c r="CI156" i="8" s="1"/>
  <c r="CJ156" i="8" s="1"/>
  <c r="CI157" i="8" s="1"/>
  <c r="CJ157" i="8" s="1"/>
  <c r="CI158" i="8" s="1"/>
  <c r="CJ158" i="8" s="1"/>
  <c r="CI159" i="8" s="1"/>
  <c r="CJ159" i="8" s="1"/>
  <c r="CI160" i="8" s="1"/>
  <c r="CJ160" i="8" s="1"/>
  <c r="CI161" i="8" s="1"/>
  <c r="CJ161" i="8" s="1"/>
  <c r="CI162" i="8" s="1"/>
  <c r="CJ162" i="8" s="1"/>
  <c r="CI163" i="8" s="1"/>
  <c r="CJ163" i="8" s="1"/>
  <c r="CI164" i="8" s="1"/>
  <c r="CJ164" i="8" s="1"/>
  <c r="CI165" i="8" s="1"/>
  <c r="CJ165" i="8" s="1"/>
  <c r="CI166" i="8" s="1"/>
  <c r="CJ166" i="8" s="1"/>
  <c r="CI167" i="8" s="1"/>
  <c r="CJ167" i="8" s="1"/>
  <c r="CI168" i="8" s="1"/>
  <c r="CJ168" i="8" s="1"/>
  <c r="CI169" i="8" s="1"/>
  <c r="CJ169" i="8" s="1"/>
  <c r="CI170" i="8" s="1"/>
  <c r="CJ170" i="8" s="1"/>
  <c r="CI171" i="8" s="1"/>
  <c r="CJ171" i="8" s="1"/>
  <c r="CI172" i="8" s="1"/>
  <c r="CL154" i="8"/>
  <c r="CK155" i="8" s="1"/>
  <c r="DA154" i="8"/>
  <c r="CZ155" i="8" s="1"/>
  <c r="CY154" i="8"/>
  <c r="CX155" i="8" s="1"/>
  <c r="CW154" i="8"/>
  <c r="CV155" i="8" s="1"/>
  <c r="EN154" i="8"/>
  <c r="EM155" i="8"/>
  <c r="GI155" i="8"/>
  <c r="DP161" i="8"/>
  <c r="DO162" i="8"/>
  <c r="FJ160" i="8"/>
  <c r="FK159" i="8"/>
  <c r="CJ172" i="8" l="1"/>
  <c r="CI173" i="8" s="1"/>
  <c r="CN156" i="8"/>
  <c r="CM157" i="8" s="1"/>
  <c r="CN157" i="8" s="1"/>
  <c r="CM158" i="8" s="1"/>
  <c r="D80" i="11"/>
  <c r="AD156" i="8" s="1"/>
  <c r="C81" i="11"/>
  <c r="CL155" i="8"/>
  <c r="CK156" i="8" s="1"/>
  <c r="DA155" i="8"/>
  <c r="CZ156" i="8" s="1"/>
  <c r="DA156" i="8" s="1"/>
  <c r="CZ157" i="8" s="1"/>
  <c r="DA157" i="8" s="1"/>
  <c r="CZ158" i="8" s="1"/>
  <c r="DA158" i="8" s="1"/>
  <c r="CZ159" i="8" s="1"/>
  <c r="DA159" i="8" s="1"/>
  <c r="CZ160" i="8" s="1"/>
  <c r="DA160" i="8" s="1"/>
  <c r="CZ161" i="8" s="1"/>
  <c r="DA161" i="8" s="1"/>
  <c r="CZ162" i="8" s="1"/>
  <c r="DA162" i="8" s="1"/>
  <c r="CZ163" i="8" s="1"/>
  <c r="DA163" i="8" s="1"/>
  <c r="CZ164" i="8" s="1"/>
  <c r="DA164" i="8" s="1"/>
  <c r="CZ165" i="8" s="1"/>
  <c r="DA165" i="8" s="1"/>
  <c r="CZ166" i="8" s="1"/>
  <c r="DA166" i="8" s="1"/>
  <c r="CZ167" i="8" s="1"/>
  <c r="DA167" i="8" s="1"/>
  <c r="CZ168" i="8" s="1"/>
  <c r="DA168" i="8" s="1"/>
  <c r="CZ169" i="8" s="1"/>
  <c r="DA169" i="8" s="1"/>
  <c r="CZ170" i="8" s="1"/>
  <c r="DA170" i="8" s="1"/>
  <c r="CZ171" i="8" s="1"/>
  <c r="DA171" i="8" s="1"/>
  <c r="CZ172" i="8" s="1"/>
  <c r="DA172" i="8" s="1"/>
  <c r="CZ173" i="8" s="1"/>
  <c r="CY155" i="8"/>
  <c r="CX156" i="8" s="1"/>
  <c r="CY156" i="8" s="1"/>
  <c r="CX157" i="8" s="1"/>
  <c r="CW155" i="8"/>
  <c r="CV156" i="8" s="1"/>
  <c r="CW156" i="8" s="1"/>
  <c r="CV157" i="8" s="1"/>
  <c r="CW157" i="8" s="1"/>
  <c r="CV158" i="8" s="1"/>
  <c r="GI156" i="8"/>
  <c r="EN155" i="8"/>
  <c r="EM156" i="8"/>
  <c r="DO163" i="8"/>
  <c r="DP162" i="8"/>
  <c r="FK160" i="8"/>
  <c r="FJ161" i="8"/>
  <c r="CW158" i="8" l="1"/>
  <c r="CV159" i="8" s="1"/>
  <c r="CW159" i="8" s="1"/>
  <c r="CV160" i="8" s="1"/>
  <c r="CW160" i="8" s="1"/>
  <c r="CV161" i="8" s="1"/>
  <c r="CW161" i="8" s="1"/>
  <c r="CV162" i="8" s="1"/>
  <c r="CW162" i="8" s="1"/>
  <c r="CV163" i="8" s="1"/>
  <c r="CW163" i="8" s="1"/>
  <c r="CV164" i="8" s="1"/>
  <c r="CW164" i="8" s="1"/>
  <c r="CV165" i="8" s="1"/>
  <c r="CW165" i="8" s="1"/>
  <c r="CV166" i="8" s="1"/>
  <c r="CY157" i="8"/>
  <c r="CX158" i="8" s="1"/>
  <c r="CY158" i="8" s="1"/>
  <c r="CX159" i="8" s="1"/>
  <c r="CY159" i="8" s="1"/>
  <c r="CX160" i="8" s="1"/>
  <c r="CY160" i="8" s="1"/>
  <c r="CX161" i="8" s="1"/>
  <c r="CY161" i="8" s="1"/>
  <c r="CX162" i="8" s="1"/>
  <c r="CY162" i="8" s="1"/>
  <c r="CX163" i="8" s="1"/>
  <c r="CY163" i="8" s="1"/>
  <c r="CX164" i="8" s="1"/>
  <c r="CY164" i="8" s="1"/>
  <c r="CX165" i="8" s="1"/>
  <c r="CY165" i="8" s="1"/>
  <c r="CX166" i="8" s="1"/>
  <c r="CY166" i="8" s="1"/>
  <c r="CX167" i="8" s="1"/>
  <c r="CY167" i="8" s="1"/>
  <c r="CX168" i="8" s="1"/>
  <c r="CY168" i="8" s="1"/>
  <c r="CX169" i="8" s="1"/>
  <c r="DA173" i="8"/>
  <c r="CZ174" i="8" s="1"/>
  <c r="DA174" i="8" s="1"/>
  <c r="CZ175" i="8" s="1"/>
  <c r="DA175" i="8" s="1"/>
  <c r="CZ176" i="8" s="1"/>
  <c r="CL156" i="8"/>
  <c r="CK157" i="8" s="1"/>
  <c r="CN158" i="8"/>
  <c r="CM159" i="8" s="1"/>
  <c r="CJ173" i="8"/>
  <c r="CI174" i="8" s="1"/>
  <c r="CJ174" i="8" s="1"/>
  <c r="CI175" i="8" s="1"/>
  <c r="CJ175" i="8" s="1"/>
  <c r="CI176" i="8" s="1"/>
  <c r="D81" i="11"/>
  <c r="AD157" i="8" s="1"/>
  <c r="C82" i="11"/>
  <c r="GI157" i="8"/>
  <c r="EN156" i="8"/>
  <c r="EM157" i="8"/>
  <c r="DP163" i="8"/>
  <c r="DO164" i="8"/>
  <c r="FK161" i="8"/>
  <c r="FJ162" i="8"/>
  <c r="CJ176" i="8" l="1"/>
  <c r="CI177" i="8" s="1"/>
  <c r="CJ177" i="8" s="1"/>
  <c r="CI178" i="8" s="1"/>
  <c r="CJ178" i="8" s="1"/>
  <c r="CI179" i="8" s="1"/>
  <c r="CW166" i="8"/>
  <c r="CV167" i="8" s="1"/>
  <c r="CL157" i="8"/>
  <c r="CK158" i="8" s="1"/>
  <c r="CL158" i="8" s="1"/>
  <c r="CK159" i="8" s="1"/>
  <c r="CL159" i="8" s="1"/>
  <c r="CK160" i="8" s="1"/>
  <c r="CL160" i="8" s="1"/>
  <c r="CK161" i="8" s="1"/>
  <c r="CL161" i="8" s="1"/>
  <c r="CK162" i="8" s="1"/>
  <c r="CL162" i="8" s="1"/>
  <c r="CK163" i="8" s="1"/>
  <c r="CL163" i="8" s="1"/>
  <c r="CK164" i="8" s="1"/>
  <c r="CL164" i="8" s="1"/>
  <c r="CK165" i="8" s="1"/>
  <c r="CL165" i="8" s="1"/>
  <c r="CK166" i="8" s="1"/>
  <c r="CL166" i="8" s="1"/>
  <c r="CK167" i="8" s="1"/>
  <c r="CN159" i="8"/>
  <c r="CM160" i="8" s="1"/>
  <c r="DA176" i="8"/>
  <c r="CZ177" i="8" s="1"/>
  <c r="CY169" i="8"/>
  <c r="CX170" i="8" s="1"/>
  <c r="CY170" i="8" s="1"/>
  <c r="CX171" i="8" s="1"/>
  <c r="D82" i="11"/>
  <c r="AD158" i="8" s="1"/>
  <c r="C83" i="11"/>
  <c r="EN157" i="8"/>
  <c r="EM158" i="8"/>
  <c r="GI158" i="8"/>
  <c r="GJ157" i="8"/>
  <c r="DP164" i="8"/>
  <c r="DO165" i="8"/>
  <c r="FJ163" i="8"/>
  <c r="FK162" i="8"/>
  <c r="CN160" i="8" l="1"/>
  <c r="CM161" i="8" s="1"/>
  <c r="CN161" i="8" s="1"/>
  <c r="CM162" i="8" s="1"/>
  <c r="CN162" i="8" s="1"/>
  <c r="CM163" i="8" s="1"/>
  <c r="CL167" i="8"/>
  <c r="CK168" i="8" s="1"/>
  <c r="CW167" i="8"/>
  <c r="CV168" i="8" s="1"/>
  <c r="DA177" i="8"/>
  <c r="CZ178" i="8" s="1"/>
  <c r="DA178" i="8" s="1"/>
  <c r="CZ179" i="8" s="1"/>
  <c r="CY171" i="8"/>
  <c r="CX172" i="8" s="1"/>
  <c r="CJ179" i="8"/>
  <c r="CI180" i="8" s="1"/>
  <c r="CJ180" i="8" s="1"/>
  <c r="CI181" i="8" s="1"/>
  <c r="CJ181" i="8" s="1"/>
  <c r="CI182" i="8" s="1"/>
  <c r="CJ182" i="8" s="1"/>
  <c r="CI183" i="8" s="1"/>
  <c r="CJ183" i="8" s="1"/>
  <c r="CI184" i="8" s="1"/>
  <c r="D83" i="11"/>
  <c r="AD159" i="8" s="1"/>
  <c r="C84" i="11"/>
  <c r="EN158" i="8"/>
  <c r="EM159" i="8"/>
  <c r="GI159" i="8"/>
  <c r="GJ158" i="8"/>
  <c r="DP165" i="8"/>
  <c r="DO166" i="8"/>
  <c r="FK163" i="8"/>
  <c r="FJ164" i="8"/>
  <c r="DA179" i="8" l="1"/>
  <c r="CZ180" i="8" s="1"/>
  <c r="DA180" i="8" s="1"/>
  <c r="CZ181" i="8" s="1"/>
  <c r="DA181" i="8" s="1"/>
  <c r="CZ182" i="8" s="1"/>
  <c r="CN163" i="8"/>
  <c r="CM164" i="8" s="1"/>
  <c r="CN164" i="8" s="1"/>
  <c r="CM165" i="8" s="1"/>
  <c r="CN165" i="8" s="1"/>
  <c r="CM166" i="8" s="1"/>
  <c r="CW168" i="8"/>
  <c r="CV169" i="8" s="1"/>
  <c r="CW169" i="8" s="1"/>
  <c r="CV170" i="8" s="1"/>
  <c r="CL168" i="8"/>
  <c r="CK169" i="8" s="1"/>
  <c r="CL169" i="8" s="1"/>
  <c r="CK170" i="8" s="1"/>
  <c r="CL170" i="8" s="1"/>
  <c r="CK171" i="8" s="1"/>
  <c r="CL171" i="8" s="1"/>
  <c r="CK172" i="8" s="1"/>
  <c r="CJ184" i="8"/>
  <c r="CI185" i="8" s="1"/>
  <c r="CJ185" i="8" s="1"/>
  <c r="CI186" i="8" s="1"/>
  <c r="CJ186" i="8" s="1"/>
  <c r="CI187" i="8" s="1"/>
  <c r="CJ187" i="8" s="1"/>
  <c r="CI188" i="8" s="1"/>
  <c r="CJ188" i="8" s="1"/>
  <c r="CI189" i="8" s="1"/>
  <c r="CJ189" i="8" s="1"/>
  <c r="CI190" i="8" s="1"/>
  <c r="CJ190" i="8" s="1"/>
  <c r="CI191" i="8" s="1"/>
  <c r="CJ191" i="8" s="1"/>
  <c r="CI192" i="8" s="1"/>
  <c r="CJ192" i="8" s="1"/>
  <c r="CI193" i="8" s="1"/>
  <c r="CJ193" i="8" s="1"/>
  <c r="CI194" i="8" s="1"/>
  <c r="CJ194" i="8" s="1"/>
  <c r="CI195" i="8" s="1"/>
  <c r="CJ195" i="8" s="1"/>
  <c r="CI196" i="8" s="1"/>
  <c r="CJ196" i="8" s="1"/>
  <c r="CI197" i="8" s="1"/>
  <c r="CJ197" i="8" s="1"/>
  <c r="CI198" i="8" s="1"/>
  <c r="CJ198" i="8" s="1"/>
  <c r="CI199" i="8" s="1"/>
  <c r="CJ199" i="8" s="1"/>
  <c r="CY172" i="8"/>
  <c r="CX173" i="8" s="1"/>
  <c r="D84" i="11"/>
  <c r="AD160" i="8" s="1"/>
  <c r="C85" i="11"/>
  <c r="EN159" i="8"/>
  <c r="EM160" i="8"/>
  <c r="GI160" i="8"/>
  <c r="GJ159" i="8"/>
  <c r="DP166" i="8"/>
  <c r="DO167" i="8"/>
  <c r="FK164" i="8"/>
  <c r="FJ165" i="8"/>
  <c r="CY173" i="8" l="1"/>
  <c r="CX174" i="8" s="1"/>
  <c r="CY174" i="8" s="1"/>
  <c r="CX175" i="8" s="1"/>
  <c r="CW170" i="8"/>
  <c r="CV171" i="8" s="1"/>
  <c r="CW171" i="8" s="1"/>
  <c r="CV172" i="8" s="1"/>
  <c r="DA182" i="8"/>
  <c r="CZ183" i="8" s="1"/>
  <c r="DA183" i="8" s="1"/>
  <c r="CZ184" i="8" s="1"/>
  <c r="CL172" i="8"/>
  <c r="CK173" i="8" s="1"/>
  <c r="CL173" i="8" s="1"/>
  <c r="CK174" i="8" s="1"/>
  <c r="CN166" i="8"/>
  <c r="CM167" i="8" s="1"/>
  <c r="CN167" i="8" s="1"/>
  <c r="CM168" i="8" s="1"/>
  <c r="CN168" i="8" s="1"/>
  <c r="CM169" i="8" s="1"/>
  <c r="D85" i="11"/>
  <c r="AD161" i="8" s="1"/>
  <c r="C86" i="11"/>
  <c r="GI161" i="8"/>
  <c r="GJ160" i="8"/>
  <c r="EN160" i="8"/>
  <c r="EM161" i="8"/>
  <c r="DO168" i="8"/>
  <c r="DP167" i="8"/>
  <c r="FJ166" i="8"/>
  <c r="FK165" i="8"/>
  <c r="CL174" i="8" l="1"/>
  <c r="CK175" i="8" s="1"/>
  <c r="CL175" i="8" s="1"/>
  <c r="CK176" i="8" s="1"/>
  <c r="CL176" i="8" s="1"/>
  <c r="CK177" i="8" s="1"/>
  <c r="CL177" i="8" s="1"/>
  <c r="CK178" i="8" s="1"/>
  <c r="CL178" i="8" s="1"/>
  <c r="CK179" i="8" s="1"/>
  <c r="CL179" i="8" s="1"/>
  <c r="CK180" i="8" s="1"/>
  <c r="CL180" i="8" s="1"/>
  <c r="CK181" i="8" s="1"/>
  <c r="CL181" i="8" s="1"/>
  <c r="CK182" i="8" s="1"/>
  <c r="CL182" i="8" s="1"/>
  <c r="CK183" i="8" s="1"/>
  <c r="CL183" i="8" s="1"/>
  <c r="CK184" i="8" s="1"/>
  <c r="DA184" i="8"/>
  <c r="CZ185" i="8" s="1"/>
  <c r="DA185" i="8" s="1"/>
  <c r="CZ186" i="8" s="1"/>
  <c r="DA186" i="8" s="1"/>
  <c r="CZ187" i="8" s="1"/>
  <c r="DA187" i="8" s="1"/>
  <c r="CZ188" i="8" s="1"/>
  <c r="DA188" i="8" s="1"/>
  <c r="CZ189" i="8" s="1"/>
  <c r="DA189" i="8" s="1"/>
  <c r="CZ190" i="8" s="1"/>
  <c r="CW172" i="8"/>
  <c r="CV173" i="8" s="1"/>
  <c r="CN169" i="8"/>
  <c r="CM170" i="8" s="1"/>
  <c r="CN170" i="8" s="1"/>
  <c r="CM171" i="8" s="1"/>
  <c r="CN171" i="8" s="1"/>
  <c r="CM172" i="8" s="1"/>
  <c r="CY175" i="8"/>
  <c r="CX176" i="8" s="1"/>
  <c r="CY176" i="8" s="1"/>
  <c r="CX177" i="8" s="1"/>
  <c r="CY177" i="8" s="1"/>
  <c r="CX178" i="8" s="1"/>
  <c r="CY178" i="8" s="1"/>
  <c r="CX179" i="8" s="1"/>
  <c r="CY179" i="8" s="1"/>
  <c r="CX180" i="8" s="1"/>
  <c r="CY180" i="8" s="1"/>
  <c r="CX181" i="8" s="1"/>
  <c r="CY181" i="8" s="1"/>
  <c r="CX182" i="8" s="1"/>
  <c r="CY182" i="8" s="1"/>
  <c r="CX183" i="8" s="1"/>
  <c r="D86" i="11"/>
  <c r="AD162" i="8" s="1"/>
  <c r="C87" i="11"/>
  <c r="EN161" i="8"/>
  <c r="EM162" i="8"/>
  <c r="GJ161" i="8"/>
  <c r="GI162" i="8"/>
  <c r="DP168" i="8"/>
  <c r="DO169" i="8"/>
  <c r="FK166" i="8"/>
  <c r="FJ167" i="8"/>
  <c r="CN172" i="8" l="1"/>
  <c r="CM173" i="8" s="1"/>
  <c r="CN173" i="8" s="1"/>
  <c r="CM174" i="8" s="1"/>
  <c r="CY183" i="8"/>
  <c r="CX184" i="8" s="1"/>
  <c r="CL184" i="8"/>
  <c r="CK185" i="8" s="1"/>
  <c r="CW173" i="8"/>
  <c r="CV174" i="8" s="1"/>
  <c r="CW174" i="8" s="1"/>
  <c r="CV175" i="8" s="1"/>
  <c r="DA190" i="8"/>
  <c r="CZ191" i="8" s="1"/>
  <c r="C88" i="11"/>
  <c r="D87" i="11"/>
  <c r="AD163" i="8" s="1"/>
  <c r="GI163" i="8"/>
  <c r="GJ162" i="8"/>
  <c r="EN162" i="8"/>
  <c r="EM163" i="8"/>
  <c r="DP169" i="8"/>
  <c r="DO170" i="8"/>
  <c r="FK167" i="8"/>
  <c r="FJ168" i="8"/>
  <c r="DA191" i="8" l="1"/>
  <c r="CZ192" i="8" s="1"/>
  <c r="DA192" i="8" s="1"/>
  <c r="CZ193" i="8" s="1"/>
  <c r="DA193" i="8" s="1"/>
  <c r="CZ194" i="8" s="1"/>
  <c r="DA194" i="8" s="1"/>
  <c r="CZ195" i="8" s="1"/>
  <c r="DA195" i="8" s="1"/>
  <c r="CZ196" i="8" s="1"/>
  <c r="DA196" i="8" s="1"/>
  <c r="CZ197" i="8" s="1"/>
  <c r="DA197" i="8" s="1"/>
  <c r="CZ198" i="8" s="1"/>
  <c r="DA198" i="8" s="1"/>
  <c r="CZ199" i="8" s="1"/>
  <c r="DA199" i="8" s="1"/>
  <c r="CW175" i="8"/>
  <c r="CV176" i="8" s="1"/>
  <c r="CW176" i="8" s="1"/>
  <c r="CV177" i="8" s="1"/>
  <c r="CW177" i="8" s="1"/>
  <c r="CV178" i="8" s="1"/>
  <c r="CW178" i="8" s="1"/>
  <c r="CV179" i="8" s="1"/>
  <c r="CW179" i="8" s="1"/>
  <c r="CV180" i="8" s="1"/>
  <c r="CW180" i="8" s="1"/>
  <c r="CV181" i="8" s="1"/>
  <c r="CW181" i="8" s="1"/>
  <c r="CV182" i="8" s="1"/>
  <c r="CW182" i="8" s="1"/>
  <c r="CV183" i="8" s="1"/>
  <c r="CW183" i="8" s="1"/>
  <c r="CV184" i="8" s="1"/>
  <c r="CL185" i="8"/>
  <c r="CK186" i="8" s="1"/>
  <c r="CY184" i="8"/>
  <c r="CX185" i="8" s="1"/>
  <c r="CN174" i="8"/>
  <c r="CM175" i="8" s="1"/>
  <c r="CN175" i="8" s="1"/>
  <c r="CM176" i="8" s="1"/>
  <c r="CN176" i="8" s="1"/>
  <c r="CM177" i="8" s="1"/>
  <c r="CN177" i="8" s="1"/>
  <c r="CM178" i="8" s="1"/>
  <c r="CN178" i="8" s="1"/>
  <c r="CM179" i="8" s="1"/>
  <c r="CN179" i="8" s="1"/>
  <c r="CM180" i="8" s="1"/>
  <c r="CN180" i="8" s="1"/>
  <c r="CM181" i="8" s="1"/>
  <c r="CN181" i="8" s="1"/>
  <c r="CM182" i="8" s="1"/>
  <c r="CN182" i="8" s="1"/>
  <c r="CM183" i="8" s="1"/>
  <c r="CN183" i="8" s="1"/>
  <c r="CM184" i="8" s="1"/>
  <c r="C89" i="11"/>
  <c r="D88" i="11"/>
  <c r="AD164" i="8" s="1"/>
  <c r="GJ163" i="8"/>
  <c r="GI164" i="8"/>
  <c r="EN163" i="8"/>
  <c r="EM164" i="8"/>
  <c r="DP170" i="8"/>
  <c r="DO171" i="8"/>
  <c r="FK168" i="8"/>
  <c r="FJ169" i="8"/>
  <c r="CL186" i="8" l="1"/>
  <c r="CK187" i="8" s="1"/>
  <c r="CW184" i="8"/>
  <c r="CV185" i="8" s="1"/>
  <c r="CW185" i="8" s="1"/>
  <c r="CV186" i="8" s="1"/>
  <c r="CW186" i="8" s="1"/>
  <c r="CV187" i="8" s="1"/>
  <c r="CW187" i="8" s="1"/>
  <c r="CV188" i="8" s="1"/>
  <c r="CW188" i="8" s="1"/>
  <c r="CV189" i="8" s="1"/>
  <c r="CW189" i="8" s="1"/>
  <c r="CV190" i="8" s="1"/>
  <c r="CW190" i="8" s="1"/>
  <c r="CV191" i="8" s="1"/>
  <c r="CW191" i="8" s="1"/>
  <c r="CV192" i="8" s="1"/>
  <c r="CW192" i="8" s="1"/>
  <c r="CV193" i="8" s="1"/>
  <c r="CW193" i="8" s="1"/>
  <c r="CV194" i="8" s="1"/>
  <c r="CW194" i="8" s="1"/>
  <c r="CV195" i="8" s="1"/>
  <c r="CW195" i="8" s="1"/>
  <c r="CV196" i="8" s="1"/>
  <c r="CW196" i="8" s="1"/>
  <c r="CV197" i="8" s="1"/>
  <c r="CW197" i="8" s="1"/>
  <c r="CV198" i="8" s="1"/>
  <c r="CW198" i="8" s="1"/>
  <c r="CV199" i="8" s="1"/>
  <c r="CW199" i="8" s="1"/>
  <c r="CN184" i="8"/>
  <c r="CM185" i="8" s="1"/>
  <c r="CN185" i="8" s="1"/>
  <c r="CM186" i="8" s="1"/>
  <c r="CN186" i="8" s="1"/>
  <c r="CM187" i="8" s="1"/>
  <c r="CN187" i="8" s="1"/>
  <c r="CM188" i="8" s="1"/>
  <c r="CN188" i="8" s="1"/>
  <c r="CM189" i="8" s="1"/>
  <c r="CN189" i="8" s="1"/>
  <c r="CM190" i="8" s="1"/>
  <c r="CN190" i="8" s="1"/>
  <c r="CM191" i="8" s="1"/>
  <c r="CN191" i="8" s="1"/>
  <c r="CM192" i="8" s="1"/>
  <c r="CN192" i="8" s="1"/>
  <c r="CM193" i="8" s="1"/>
  <c r="CY185" i="8"/>
  <c r="CX186" i="8" s="1"/>
  <c r="D89" i="11"/>
  <c r="AD165" i="8" s="1"/>
  <c r="C90" i="11"/>
  <c r="EN164" i="8"/>
  <c r="EM165" i="8"/>
  <c r="GJ164" i="8"/>
  <c r="GI165" i="8"/>
  <c r="DO172" i="8"/>
  <c r="DP171" i="8"/>
  <c r="FJ170" i="8"/>
  <c r="FK169" i="8"/>
  <c r="CY186" i="8" l="1"/>
  <c r="CX187" i="8" s="1"/>
  <c r="CY187" i="8" s="1"/>
  <c r="CX188" i="8" s="1"/>
  <c r="CY188" i="8" s="1"/>
  <c r="CX189" i="8" s="1"/>
  <c r="CY189" i="8" s="1"/>
  <c r="CX190" i="8" s="1"/>
  <c r="CY190" i="8" s="1"/>
  <c r="CX191" i="8" s="1"/>
  <c r="CY191" i="8" s="1"/>
  <c r="CX192" i="8" s="1"/>
  <c r="CY192" i="8" s="1"/>
  <c r="CX193" i="8" s="1"/>
  <c r="CY193" i="8" s="1"/>
  <c r="CX194" i="8" s="1"/>
  <c r="CY194" i="8" s="1"/>
  <c r="CX195" i="8" s="1"/>
  <c r="CY195" i="8" s="1"/>
  <c r="CX196" i="8" s="1"/>
  <c r="CY196" i="8" s="1"/>
  <c r="CX197" i="8" s="1"/>
  <c r="CY197" i="8" s="1"/>
  <c r="CX198" i="8" s="1"/>
  <c r="CN193" i="8"/>
  <c r="CM194" i="8" s="1"/>
  <c r="CL187" i="8"/>
  <c r="CK188" i="8" s="1"/>
  <c r="CL188" i="8" s="1"/>
  <c r="CK189" i="8" s="1"/>
  <c r="CL189" i="8" s="1"/>
  <c r="CK190" i="8" s="1"/>
  <c r="CL190" i="8" s="1"/>
  <c r="CK191" i="8" s="1"/>
  <c r="D90" i="11"/>
  <c r="AD166" i="8" s="1"/>
  <c r="C91" i="11"/>
  <c r="GJ165" i="8"/>
  <c r="GI166" i="8"/>
  <c r="EN165" i="8"/>
  <c r="EM166" i="8"/>
  <c r="DP172" i="8"/>
  <c r="DO173" i="8"/>
  <c r="FK170" i="8"/>
  <c r="FJ171" i="8"/>
  <c r="CY198" i="8" l="1"/>
  <c r="CX199" i="8" s="1"/>
  <c r="CY199" i="8" s="1"/>
  <c r="CL191" i="8"/>
  <c r="CK192" i="8" s="1"/>
  <c r="CN194" i="8"/>
  <c r="CM195" i="8" s="1"/>
  <c r="CN195" i="8" s="1"/>
  <c r="CM196" i="8" s="1"/>
  <c r="CN196" i="8" s="1"/>
  <c r="CM197" i="8" s="1"/>
  <c r="D91" i="11"/>
  <c r="AD167" i="8" s="1"/>
  <c r="C92" i="11"/>
  <c r="EN166" i="8"/>
  <c r="EM167" i="8"/>
  <c r="GJ166" i="8"/>
  <c r="GI167" i="8"/>
  <c r="DO174" i="8"/>
  <c r="DP173" i="8"/>
  <c r="FK171" i="8"/>
  <c r="FJ172" i="8"/>
  <c r="CN197" i="8" l="1"/>
  <c r="CM198" i="8" s="1"/>
  <c r="CL192" i="8"/>
  <c r="CK193" i="8" s="1"/>
  <c r="CL193" i="8" s="1"/>
  <c r="CK194" i="8" s="1"/>
  <c r="CL194" i="8" s="1"/>
  <c r="CK195" i="8" s="1"/>
  <c r="D92" i="11"/>
  <c r="AD168" i="8" s="1"/>
  <c r="C93" i="11"/>
  <c r="EN167" i="8"/>
  <c r="EM168" i="8"/>
  <c r="GI168" i="8"/>
  <c r="GJ167" i="8"/>
  <c r="DP174" i="8"/>
  <c r="DO175" i="8"/>
  <c r="FJ173" i="8"/>
  <c r="FK172" i="8"/>
  <c r="CL195" i="8" l="1"/>
  <c r="CK196" i="8" s="1"/>
  <c r="CN198" i="8"/>
  <c r="CM199" i="8" s="1"/>
  <c r="CN199" i="8" s="1"/>
  <c r="D93" i="11"/>
  <c r="AD169" i="8" s="1"/>
  <c r="C94" i="11"/>
  <c r="GI169" i="8"/>
  <c r="GJ168" i="8"/>
  <c r="EN168" i="8"/>
  <c r="EM169" i="8"/>
  <c r="DP175" i="8"/>
  <c r="DO176" i="8"/>
  <c r="FK173" i="8"/>
  <c r="FJ174" i="8"/>
  <c r="CL196" i="8" l="1"/>
  <c r="CK197" i="8" s="1"/>
  <c r="CL197" i="8" s="1"/>
  <c r="CK198" i="8" s="1"/>
  <c r="D94" i="11"/>
  <c r="AD170" i="8" s="1"/>
  <c r="C95" i="11"/>
  <c r="EN169" i="8"/>
  <c r="EM170" i="8"/>
  <c r="GI170" i="8"/>
  <c r="GJ169" i="8"/>
  <c r="DP176" i="8"/>
  <c r="DO177" i="8"/>
  <c r="FK174" i="8"/>
  <c r="FJ175" i="8"/>
  <c r="CL198" i="8" l="1"/>
  <c r="CK199" i="8" s="1"/>
  <c r="CL199" i="8" s="1"/>
  <c r="D95" i="11"/>
  <c r="AD171" i="8" s="1"/>
  <c r="C96" i="11"/>
  <c r="GJ170" i="8"/>
  <c r="GI171" i="8"/>
  <c r="EN170" i="8"/>
  <c r="EM171" i="8"/>
  <c r="DP177" i="8"/>
  <c r="DO178" i="8"/>
  <c r="FJ176" i="8"/>
  <c r="FK175" i="8"/>
  <c r="D96" i="11" l="1"/>
  <c r="AD172" i="8" s="1"/>
  <c r="C97" i="11"/>
  <c r="EN171" i="8"/>
  <c r="EM172" i="8"/>
  <c r="GI172" i="8"/>
  <c r="GJ171" i="8"/>
  <c r="DO179" i="8"/>
  <c r="DP179" i="8" s="1"/>
  <c r="DP178" i="8"/>
  <c r="FK176" i="8"/>
  <c r="FJ177" i="8"/>
  <c r="D97" i="11" l="1"/>
  <c r="AD173" i="8" s="1"/>
  <c r="C98" i="11"/>
  <c r="GI173" i="8"/>
  <c r="GJ172" i="8"/>
  <c r="EN172" i="8"/>
  <c r="EM173" i="8"/>
  <c r="FK177" i="8"/>
  <c r="FJ178" i="8"/>
  <c r="DO180" i="8"/>
  <c r="C99" i="11" l="1"/>
  <c r="D98" i="11"/>
  <c r="AD174" i="8" s="1"/>
  <c r="EN173" i="8"/>
  <c r="EM174" i="8"/>
  <c r="GI174" i="8"/>
  <c r="GJ173" i="8"/>
  <c r="FJ179" i="8"/>
  <c r="FK178" i="8"/>
  <c r="D99" i="11" l="1"/>
  <c r="AD175" i="8" s="1"/>
  <c r="C100" i="11"/>
  <c r="GI175" i="8"/>
  <c r="GJ174" i="8"/>
  <c r="EN174" i="8"/>
  <c r="EM175" i="8"/>
  <c r="FK179" i="8"/>
  <c r="D100" i="11" l="1"/>
  <c r="AD176" i="8" s="1"/>
  <c r="C101" i="11"/>
  <c r="EN175" i="8"/>
  <c r="EM176" i="8"/>
  <c r="GJ175" i="8"/>
  <c r="GI176" i="8"/>
  <c r="D101" i="11" l="1"/>
  <c r="AD177" i="8" s="1"/>
  <c r="C102" i="11"/>
  <c r="GI177" i="8"/>
  <c r="GJ176" i="8"/>
  <c r="EN176" i="8"/>
  <c r="EM177" i="8"/>
  <c r="C103" i="11" l="1"/>
  <c r="D102" i="11"/>
  <c r="AD178" i="8" s="1"/>
  <c r="EN177" i="8"/>
  <c r="EM178" i="8"/>
  <c r="GJ177" i="8"/>
  <c r="GI178" i="8"/>
  <c r="C42" i="8"/>
  <c r="C16" i="8"/>
  <c r="C9" i="8"/>
  <c r="AE80" i="8" s="1"/>
  <c r="AE81" i="8" l="1"/>
  <c r="BM80" i="8"/>
  <c r="BS80" i="8" s="1"/>
  <c r="C104" i="11"/>
  <c r="D103" i="11"/>
  <c r="AD179" i="8" s="1"/>
  <c r="GJ178" i="8"/>
  <c r="GI179" i="8"/>
  <c r="EN178" i="8"/>
  <c r="EM179" i="8"/>
  <c r="BF80" i="8"/>
  <c r="AZ80" i="8"/>
  <c r="AG80" i="8" s="1"/>
  <c r="AJ80" i="8" s="1"/>
  <c r="AK80" i="8" s="1"/>
  <c r="BZ80" i="8" l="1"/>
  <c r="BP80" i="8"/>
  <c r="BO80" i="8"/>
  <c r="BR80" i="8"/>
  <c r="BT80" i="8"/>
  <c r="AE82" i="8"/>
  <c r="BM81" i="8"/>
  <c r="AT80" i="8"/>
  <c r="C105" i="11"/>
  <c r="D104" i="11"/>
  <c r="AD180" i="8" s="1"/>
  <c r="DP80" i="8"/>
  <c r="DS80" i="8"/>
  <c r="EQ80" i="8"/>
  <c r="EN80" i="8"/>
  <c r="GJ179" i="8"/>
  <c r="EN179" i="8"/>
  <c r="EM180" i="8"/>
  <c r="EN180" i="8" s="1"/>
  <c r="AY81" i="8"/>
  <c r="AZ81" i="8"/>
  <c r="BF81" i="8"/>
  <c r="BE81" i="8"/>
  <c r="BS81" i="8" l="1"/>
  <c r="BR81" i="8"/>
  <c r="BT81" i="8"/>
  <c r="BY81" i="8" s="1"/>
  <c r="CB81" i="8" s="1"/>
  <c r="BQ80" i="8"/>
  <c r="AE83" i="8"/>
  <c r="BM82" i="8"/>
  <c r="D105" i="11"/>
  <c r="AD181" i="8" s="1"/>
  <c r="C106" i="11"/>
  <c r="AV80" i="8"/>
  <c r="AN80" i="8"/>
  <c r="AR80" i="8" s="1"/>
  <c r="AG81" i="8"/>
  <c r="BZ81" i="8" s="1"/>
  <c r="ER80" i="8"/>
  <c r="ES80" i="8" s="1"/>
  <c r="EO80" i="8"/>
  <c r="DT80" i="8"/>
  <c r="DU80" i="8" s="1"/>
  <c r="DV80" i="8" s="1"/>
  <c r="DQ80" i="8"/>
  <c r="EX80" i="8"/>
  <c r="FN80" i="8"/>
  <c r="GC80" i="8" s="1"/>
  <c r="GD80" i="8" s="1"/>
  <c r="EC80" i="8"/>
  <c r="GJ80" i="8"/>
  <c r="AY82" i="8"/>
  <c r="BF82" i="8"/>
  <c r="BE82" i="8"/>
  <c r="AF83" i="8"/>
  <c r="AZ82" i="8"/>
  <c r="BL83" i="8" l="1"/>
  <c r="BS82" i="8"/>
  <c r="BR82" i="8"/>
  <c r="BP81" i="8"/>
  <c r="BO81" i="8"/>
  <c r="BT82" i="8"/>
  <c r="BY82" i="8" s="1"/>
  <c r="CB82" i="8" s="1"/>
  <c r="BW81" i="8"/>
  <c r="AL80" i="8"/>
  <c r="BN83" i="8"/>
  <c r="AG82" i="8"/>
  <c r="BZ82" i="8" s="1"/>
  <c r="AE84" i="8"/>
  <c r="BM83" i="8"/>
  <c r="EP81" i="8"/>
  <c r="D106" i="11"/>
  <c r="AD182" i="8" s="1"/>
  <c r="C107" i="11"/>
  <c r="ET80" i="8"/>
  <c r="EU80" i="8" s="1"/>
  <c r="EN81" i="8"/>
  <c r="AT81" i="8"/>
  <c r="AH80" i="8"/>
  <c r="FO80" i="8"/>
  <c r="FR80" i="8" s="1"/>
  <c r="FM81" i="8" s="1"/>
  <c r="EF80" i="8"/>
  <c r="EG80" i="8" s="1"/>
  <c r="FL80" i="8"/>
  <c r="GJ81" i="8"/>
  <c r="DP81" i="8"/>
  <c r="EC81" i="8" s="1"/>
  <c r="AY83" i="8"/>
  <c r="AF84" i="8"/>
  <c r="AZ83" i="8"/>
  <c r="BF83" i="8"/>
  <c r="BE83" i="8"/>
  <c r="BI80" i="8" l="1"/>
  <c r="AM80" i="8"/>
  <c r="BL84" i="8"/>
  <c r="BS83" i="8"/>
  <c r="BP82" i="8"/>
  <c r="BO82" i="8"/>
  <c r="BR83" i="8" s="1"/>
  <c r="AT82" i="8"/>
  <c r="BN84" i="8"/>
  <c r="AE85" i="8"/>
  <c r="BM84" i="8"/>
  <c r="D107" i="11"/>
  <c r="AD183" i="8" s="1"/>
  <c r="C108" i="11"/>
  <c r="AG83" i="8"/>
  <c r="BZ83" i="8" s="1"/>
  <c r="EV80" i="8"/>
  <c r="EW80" i="8"/>
  <c r="FP80" i="8"/>
  <c r="FQ80" i="8" s="1"/>
  <c r="FZ80" i="8"/>
  <c r="EE80" i="8"/>
  <c r="DW80" i="8"/>
  <c r="FK81" i="8"/>
  <c r="EX81" i="8"/>
  <c r="AY84" i="8"/>
  <c r="FY80" i="8"/>
  <c r="FV80" i="8"/>
  <c r="GA81" i="8"/>
  <c r="GB81" i="8" s="1"/>
  <c r="AZ84" i="8"/>
  <c r="BE84" i="8"/>
  <c r="BF84" i="8"/>
  <c r="AF85" i="8"/>
  <c r="AO80" i="8" l="1"/>
  <c r="AP80" i="8" s="1"/>
  <c r="BL85" i="8"/>
  <c r="BS84" i="8"/>
  <c r="BR84" i="8" s="1"/>
  <c r="FK83" i="8"/>
  <c r="BP83" i="8"/>
  <c r="BO83" i="8"/>
  <c r="BN85" i="8"/>
  <c r="AT83" i="8"/>
  <c r="AE86" i="8"/>
  <c r="BM85" i="8"/>
  <c r="D108" i="11"/>
  <c r="AD184" i="8" s="1"/>
  <c r="C109" i="11"/>
  <c r="AG84" i="8"/>
  <c r="BZ84" i="8" s="1"/>
  <c r="DR81" i="8"/>
  <c r="DX80" i="8"/>
  <c r="DZ80" i="8" s="1"/>
  <c r="FS80" i="8"/>
  <c r="FU80" i="8" s="1"/>
  <c r="FW80" i="8" s="1"/>
  <c r="FN81" i="8" s="1"/>
  <c r="EA80" i="8"/>
  <c r="GJ83" i="8"/>
  <c r="EN83" i="8"/>
  <c r="FK80" i="8"/>
  <c r="DP83" i="8"/>
  <c r="AY85" i="8"/>
  <c r="FX80" i="8"/>
  <c r="AZ85" i="8"/>
  <c r="BE85" i="8"/>
  <c r="AF86" i="8"/>
  <c r="BF85" i="8"/>
  <c r="AQ80" i="8" l="1"/>
  <c r="AS80" i="8" s="1"/>
  <c r="AW81" i="8"/>
  <c r="BL86" i="8"/>
  <c r="BS85" i="8"/>
  <c r="BR85" i="8" s="1"/>
  <c r="BP84" i="8"/>
  <c r="BO84" i="8"/>
  <c r="BT85" i="8"/>
  <c r="BN86" i="8"/>
  <c r="AT84" i="8"/>
  <c r="AE87" i="8"/>
  <c r="BM86" i="8"/>
  <c r="D109" i="11"/>
  <c r="AD185" i="8" s="1"/>
  <c r="C110" i="11"/>
  <c r="AG85" i="8"/>
  <c r="BZ85" i="8" s="1"/>
  <c r="FT80" i="8"/>
  <c r="EQ81" i="8"/>
  <c r="ER81" i="8" s="1"/>
  <c r="ES81" i="8" s="1"/>
  <c r="EB80" i="8"/>
  <c r="DS81" i="8" s="1"/>
  <c r="DT81" i="8" s="1"/>
  <c r="DY80" i="8"/>
  <c r="FX81" i="8"/>
  <c r="GC81" i="8"/>
  <c r="GD81" i="8" s="1"/>
  <c r="FO81" i="8"/>
  <c r="FZ81" i="8" s="1"/>
  <c r="FL81" i="8"/>
  <c r="ED80" i="8"/>
  <c r="AY86" i="8"/>
  <c r="BE86" i="8"/>
  <c r="AF87" i="8"/>
  <c r="BF86" i="8"/>
  <c r="AZ86" i="8"/>
  <c r="AJ81" i="8" l="1"/>
  <c r="AU80" i="8"/>
  <c r="BD80" i="8"/>
  <c r="BL87" i="8"/>
  <c r="BR86" i="8"/>
  <c r="BS86" i="8"/>
  <c r="BT86" i="8"/>
  <c r="BY86" i="8" s="1"/>
  <c r="CB86" i="8" s="1"/>
  <c r="EN85" i="8"/>
  <c r="BP85" i="8"/>
  <c r="BO85" i="8"/>
  <c r="BQ81" i="8"/>
  <c r="BT84" i="8" s="1"/>
  <c r="BN87" i="8"/>
  <c r="AE88" i="8"/>
  <c r="BM87" i="8"/>
  <c r="D110" i="11"/>
  <c r="AD186" i="8" s="1"/>
  <c r="C111" i="11"/>
  <c r="AT85" i="8"/>
  <c r="AG86" i="8"/>
  <c r="BZ86" i="8" s="1"/>
  <c r="EO81" i="8"/>
  <c r="EF81" i="8"/>
  <c r="EG81" i="8" s="1"/>
  <c r="DQ81" i="8"/>
  <c r="DU81" i="8"/>
  <c r="DV81" i="8" s="1"/>
  <c r="FR81" i="8"/>
  <c r="FM82" i="8" s="1"/>
  <c r="FP81" i="8"/>
  <c r="FQ81" i="8" s="1"/>
  <c r="FK85" i="8"/>
  <c r="DP85" i="8"/>
  <c r="AY87" i="8"/>
  <c r="GJ85" i="8"/>
  <c r="EP82" i="8"/>
  <c r="ET81" i="8"/>
  <c r="EU81" i="8" s="1"/>
  <c r="EW81" i="8" s="1"/>
  <c r="BF87" i="8"/>
  <c r="BE87" i="8"/>
  <c r="AZ87" i="8"/>
  <c r="AF88" i="8"/>
  <c r="CA80" i="8" l="1"/>
  <c r="CO80" i="8" s="1"/>
  <c r="DB80" i="8"/>
  <c r="DC80" i="8" s="1"/>
  <c r="BX80" i="8"/>
  <c r="BL88" i="8"/>
  <c r="CC80" i="8"/>
  <c r="BR87" i="8"/>
  <c r="BS87" i="8"/>
  <c r="BP86" i="8"/>
  <c r="BO86" i="8"/>
  <c r="BT87" i="8"/>
  <c r="BY87" i="8" s="1"/>
  <c r="CB87" i="8" s="1"/>
  <c r="BN88" i="8"/>
  <c r="AE89" i="8"/>
  <c r="BM88" i="8"/>
  <c r="AT86" i="8"/>
  <c r="AX80" i="8"/>
  <c r="D111" i="11"/>
  <c r="AD187" i="8" s="1"/>
  <c r="C112" i="11"/>
  <c r="FS81" i="8"/>
  <c r="FT81" i="8" s="1"/>
  <c r="EN86" i="8"/>
  <c r="AG87" i="8"/>
  <c r="BZ87" i="8" s="1"/>
  <c r="FV81" i="8"/>
  <c r="EE81" i="8"/>
  <c r="FY81" i="8"/>
  <c r="DW81" i="8"/>
  <c r="DR82" i="8" s="1"/>
  <c r="GA82" i="8"/>
  <c r="GB82" i="8" s="1"/>
  <c r="FK86" i="8"/>
  <c r="DP86" i="8"/>
  <c r="AY88" i="8"/>
  <c r="GJ86" i="8"/>
  <c r="EV81" i="8"/>
  <c r="EQ82" i="8" s="1"/>
  <c r="EO82" i="8" s="1"/>
  <c r="BF88" i="8"/>
  <c r="BE88" i="8"/>
  <c r="AF89" i="8"/>
  <c r="AZ88" i="8"/>
  <c r="CD80" i="8" l="1"/>
  <c r="CE80" i="8" s="1"/>
  <c r="CF80" i="8" s="1"/>
  <c r="CG80" i="8" s="1"/>
  <c r="DF80" i="8"/>
  <c r="DE80" i="8"/>
  <c r="BL89" i="8"/>
  <c r="CR80" i="8"/>
  <c r="CP80" i="8"/>
  <c r="CS80" i="8"/>
  <c r="BS88" i="8"/>
  <c r="DP87" i="8"/>
  <c r="BP87" i="8"/>
  <c r="BO87" i="8"/>
  <c r="BR88" i="8" s="1"/>
  <c r="FU81" i="8"/>
  <c r="FW81" i="8" s="1"/>
  <c r="FN82" i="8" s="1"/>
  <c r="FX82" i="8" s="1"/>
  <c r="BN89" i="8"/>
  <c r="AE90" i="8"/>
  <c r="BM89" i="8"/>
  <c r="C113" i="11"/>
  <c r="D112" i="11"/>
  <c r="AD188" i="8" s="1"/>
  <c r="AH81" i="8"/>
  <c r="EN87" i="8"/>
  <c r="AG88" i="8"/>
  <c r="BZ88" i="8" s="1"/>
  <c r="AT87" i="8"/>
  <c r="GJ87" i="8"/>
  <c r="FK87" i="8"/>
  <c r="EA81" i="8"/>
  <c r="DX81" i="8"/>
  <c r="DY81" i="8" s="1"/>
  <c r="AY89" i="8"/>
  <c r="ER82" i="8"/>
  <c r="ES82" i="8" s="1"/>
  <c r="BE89" i="8"/>
  <c r="AZ89" i="8"/>
  <c r="AF90" i="8"/>
  <c r="BF89" i="8"/>
  <c r="CQ80" i="8" l="1"/>
  <c r="CT80" i="8" s="1"/>
  <c r="DD80" i="8"/>
  <c r="DG80" i="8" s="1"/>
  <c r="BL90" i="8"/>
  <c r="BS89" i="8"/>
  <c r="BR89" i="8" s="1"/>
  <c r="GJ88" i="8"/>
  <c r="BP88" i="8"/>
  <c r="BO88" i="8"/>
  <c r="AT88" i="8"/>
  <c r="BN90" i="8"/>
  <c r="AE91" i="8"/>
  <c r="BM90" i="8"/>
  <c r="C114" i="11"/>
  <c r="D113" i="11"/>
  <c r="AD189" i="8" s="1"/>
  <c r="AG89" i="8"/>
  <c r="BZ89" i="8" s="1"/>
  <c r="FO82" i="8"/>
  <c r="FZ82" i="8" s="1"/>
  <c r="FL82" i="8"/>
  <c r="GC82" i="8"/>
  <c r="GD82" i="8" s="1"/>
  <c r="DZ81" i="8"/>
  <c r="ED81" i="8" s="1"/>
  <c r="EN88" i="8"/>
  <c r="FK88" i="8"/>
  <c r="DP88" i="8"/>
  <c r="EP83" i="8"/>
  <c r="AY90" i="8"/>
  <c r="ET82" i="8"/>
  <c r="EU82" i="8" s="1"/>
  <c r="BE90" i="8"/>
  <c r="AF91" i="8"/>
  <c r="BF90" i="8"/>
  <c r="AZ90" i="8"/>
  <c r="BC80" i="8" l="1"/>
  <c r="BH80" i="8" s="1"/>
  <c r="BL91" i="8"/>
  <c r="BS90" i="8"/>
  <c r="BR90" i="8" s="1"/>
  <c r="BP89" i="8"/>
  <c r="BO89" i="8"/>
  <c r="AT89" i="8"/>
  <c r="BN91" i="8"/>
  <c r="AE92" i="8"/>
  <c r="BM91" i="8"/>
  <c r="C115" i="11"/>
  <c r="D114" i="11"/>
  <c r="AD190" i="8" s="1"/>
  <c r="AG90" i="8"/>
  <c r="BZ90" i="8" s="1"/>
  <c r="FP82" i="8"/>
  <c r="FQ82" i="8" s="1"/>
  <c r="FR82" i="8"/>
  <c r="FM83" i="8" s="1"/>
  <c r="EB81" i="8"/>
  <c r="DS82" i="8" s="1"/>
  <c r="AY91" i="8"/>
  <c r="EV82" i="8"/>
  <c r="EQ83" i="8" s="1"/>
  <c r="EW82" i="8"/>
  <c r="AF92" i="8"/>
  <c r="AZ91" i="8"/>
  <c r="BF91" i="8"/>
  <c r="BE91" i="8"/>
  <c r="BJ80" i="8" l="1"/>
  <c r="BL92" i="8"/>
  <c r="BS91" i="8"/>
  <c r="BR91" i="8" s="1"/>
  <c r="AT90" i="8"/>
  <c r="BP90" i="8"/>
  <c r="BO90" i="8"/>
  <c r="FS82" i="8"/>
  <c r="FT82" i="8" s="1"/>
  <c r="BN92" i="8"/>
  <c r="AE93" i="8"/>
  <c r="BM92" i="8"/>
  <c r="C116" i="11"/>
  <c r="D115" i="11"/>
  <c r="AD191" i="8" s="1"/>
  <c r="AG91" i="8"/>
  <c r="BZ91" i="8" s="1"/>
  <c r="FV82" i="8"/>
  <c r="GA83" i="8"/>
  <c r="GB83" i="8" s="1"/>
  <c r="FY82" i="8"/>
  <c r="DQ82" i="8"/>
  <c r="EF82" i="8"/>
  <c r="EG82" i="8" s="1"/>
  <c r="DT82" i="8"/>
  <c r="AY92" i="8"/>
  <c r="EO83" i="8"/>
  <c r="ER83" i="8"/>
  <c r="AF93" i="8"/>
  <c r="BF92" i="8"/>
  <c r="BE92" i="8"/>
  <c r="AZ92" i="8"/>
  <c r="AC80" i="8" l="1"/>
  <c r="AB80" i="8"/>
  <c r="AI81" i="8"/>
  <c r="AK81" i="8" s="1"/>
  <c r="AL81" i="8" s="1"/>
  <c r="BB81" i="8"/>
  <c r="BA81" i="8"/>
  <c r="BL93" i="8"/>
  <c r="BS92" i="8"/>
  <c r="BR92" i="8" s="1"/>
  <c r="AT91" i="8"/>
  <c r="BP91" i="8"/>
  <c r="BO91" i="8"/>
  <c r="FU82" i="8"/>
  <c r="FW82" i="8" s="1"/>
  <c r="FN83" i="8" s="1"/>
  <c r="FX83" i="8" s="1"/>
  <c r="BN93" i="8"/>
  <c r="AE94" i="8"/>
  <c r="BM93" i="8"/>
  <c r="C117" i="11"/>
  <c r="D116" i="11"/>
  <c r="AD192" i="8" s="1"/>
  <c r="AG92" i="8"/>
  <c r="BZ92" i="8" s="1"/>
  <c r="DW82" i="8"/>
  <c r="EE82" i="8"/>
  <c r="DU82" i="8"/>
  <c r="AY93" i="8"/>
  <c r="EP84" i="8"/>
  <c r="ES83" i="8"/>
  <c r="ET83" i="8" s="1"/>
  <c r="EU83" i="8" s="1"/>
  <c r="AF94" i="8"/>
  <c r="BF93" i="8"/>
  <c r="BE93" i="8"/>
  <c r="AZ93" i="8"/>
  <c r="AM81" i="8" l="1"/>
  <c r="AO81" i="8" s="1"/>
  <c r="AP81" i="8" s="1"/>
  <c r="BG81" i="8"/>
  <c r="AV81" i="8"/>
  <c r="AN81" i="8"/>
  <c r="AR81" i="8" s="1"/>
  <c r="BI81" i="8"/>
  <c r="BL94" i="8"/>
  <c r="BS93" i="8"/>
  <c r="BR93" i="8" s="1"/>
  <c r="AT92" i="8"/>
  <c r="BP92" i="8"/>
  <c r="BO92" i="8"/>
  <c r="BN94" i="8"/>
  <c r="AE95" i="8"/>
  <c r="BM94" i="8"/>
  <c r="C118" i="11"/>
  <c r="D117" i="11"/>
  <c r="AD193" i="8" s="1"/>
  <c r="FO83" i="8"/>
  <c r="FR83" i="8" s="1"/>
  <c r="FM84" i="8" s="1"/>
  <c r="GC83" i="8"/>
  <c r="GD83" i="8" s="1"/>
  <c r="FL83" i="8"/>
  <c r="AG93" i="8"/>
  <c r="BZ93" i="8" s="1"/>
  <c r="EN92" i="8"/>
  <c r="GJ92" i="8"/>
  <c r="FK92" i="8"/>
  <c r="DP92" i="8"/>
  <c r="EA82" i="8"/>
  <c r="DR83" i="8"/>
  <c r="DV82" i="8"/>
  <c r="DX82" i="8" s="1"/>
  <c r="AY94" i="8"/>
  <c r="EV83" i="8"/>
  <c r="EQ84" i="8" s="1"/>
  <c r="EO84" i="8" s="1"/>
  <c r="EW83" i="8"/>
  <c r="BF94" i="8"/>
  <c r="AZ94" i="8"/>
  <c r="AF95" i="8"/>
  <c r="BE94" i="8"/>
  <c r="AQ81" i="8" l="1"/>
  <c r="AS81" i="8" s="1"/>
  <c r="AW82" i="8"/>
  <c r="BD81" i="8"/>
  <c r="DB81" i="8" s="1"/>
  <c r="AX81" i="8"/>
  <c r="BS94" i="8"/>
  <c r="BL95" i="8"/>
  <c r="BR94" i="8"/>
  <c r="BP93" i="8"/>
  <c r="BO93" i="8"/>
  <c r="BQ82" i="8"/>
  <c r="BN95" i="8"/>
  <c r="FP83" i="8"/>
  <c r="FQ83" i="8" s="1"/>
  <c r="FS83" i="8" s="1"/>
  <c r="FT83" i="8" s="1"/>
  <c r="GA84" i="8"/>
  <c r="GB84" i="8" s="1"/>
  <c r="FZ83" i="8"/>
  <c r="AE96" i="8"/>
  <c r="BM95" i="8"/>
  <c r="FV83" i="8"/>
  <c r="FY83" i="8"/>
  <c r="D118" i="11"/>
  <c r="AD194" i="8" s="1"/>
  <c r="C119" i="11"/>
  <c r="AG94" i="8"/>
  <c r="BZ94" i="8" s="1"/>
  <c r="AT93" i="8"/>
  <c r="DZ82" i="8"/>
  <c r="EB82" i="8" s="1"/>
  <c r="DS83" i="8" s="1"/>
  <c r="DT83" i="8" s="1"/>
  <c r="DY82" i="8"/>
  <c r="AY95" i="8"/>
  <c r="ER84" i="8"/>
  <c r="AF96" i="8"/>
  <c r="BE95" i="8"/>
  <c r="BF95" i="8"/>
  <c r="AZ95" i="8"/>
  <c r="AJ82" i="8" l="1"/>
  <c r="AH82" i="8" s="1"/>
  <c r="AU81" i="8"/>
  <c r="CA81" i="8"/>
  <c r="CC81" i="8" s="1"/>
  <c r="DF81" i="8"/>
  <c r="DE81" i="8"/>
  <c r="DC81" i="8"/>
  <c r="BT83" i="8"/>
  <c r="BL96" i="8"/>
  <c r="BP94" i="8"/>
  <c r="BS95" i="8" s="1"/>
  <c r="BO94" i="8"/>
  <c r="FU83" i="8"/>
  <c r="FW83" i="8" s="1"/>
  <c r="FN84" i="8" s="1"/>
  <c r="FO84" i="8" s="1"/>
  <c r="BN96" i="8"/>
  <c r="AE97" i="8"/>
  <c r="BM96" i="8"/>
  <c r="AT94" i="8"/>
  <c r="FK94" i="8"/>
  <c r="C120" i="11"/>
  <c r="D119" i="11"/>
  <c r="AD195" i="8" s="1"/>
  <c r="AG95" i="8"/>
  <c r="BZ95" i="8" s="1"/>
  <c r="DP94" i="8"/>
  <c r="GJ94" i="8"/>
  <c r="EE83" i="8"/>
  <c r="DW83" i="8"/>
  <c r="EA83" i="8" s="1"/>
  <c r="DU83" i="8"/>
  <c r="ED82" i="8"/>
  <c r="EF83" i="8"/>
  <c r="EG83" i="8" s="1"/>
  <c r="DQ83" i="8"/>
  <c r="EN94" i="8"/>
  <c r="AY96" i="8"/>
  <c r="ES84" i="8"/>
  <c r="ET84" i="8" s="1"/>
  <c r="EU84" i="8" s="1"/>
  <c r="EP85" i="8"/>
  <c r="BE96" i="8"/>
  <c r="AF97" i="8"/>
  <c r="AZ96" i="8"/>
  <c r="BF96" i="8"/>
  <c r="BX81" i="8" l="1"/>
  <c r="CD81" i="8" s="1"/>
  <c r="CE81" i="8" s="1"/>
  <c r="CF81" i="8" s="1"/>
  <c r="CG81" i="8" s="1"/>
  <c r="CH81" i="8" s="1"/>
  <c r="CO81" i="8" s="1"/>
  <c r="BU81" i="8"/>
  <c r="BW82" i="8" s="1"/>
  <c r="BV81" i="8"/>
  <c r="DD81" i="8"/>
  <c r="DG81" i="8" s="1"/>
  <c r="BL97" i="8"/>
  <c r="BQ94" i="8"/>
  <c r="BP95" i="8"/>
  <c r="BS96" i="8" s="1"/>
  <c r="BO95" i="8"/>
  <c r="GC84" i="8"/>
  <c r="GD84" i="8" s="1"/>
  <c r="FL84" i="8"/>
  <c r="FX84" i="8"/>
  <c r="BN97" i="8"/>
  <c r="AT95" i="8"/>
  <c r="AE98" i="8"/>
  <c r="BM97" i="8"/>
  <c r="C121" i="11"/>
  <c r="D120" i="11"/>
  <c r="AD196" i="8" s="1"/>
  <c r="AG96" i="8"/>
  <c r="BZ96" i="8" s="1"/>
  <c r="DR84" i="8"/>
  <c r="DV83" i="8"/>
  <c r="DX83" i="8" s="1"/>
  <c r="FZ84" i="8"/>
  <c r="FR84" i="8"/>
  <c r="FP84" i="8"/>
  <c r="AY97" i="8"/>
  <c r="EV84" i="8"/>
  <c r="EQ85" i="8" s="1"/>
  <c r="EO85" i="8" s="1"/>
  <c r="EW84" i="8"/>
  <c r="BE97" i="8"/>
  <c r="AF98" i="8"/>
  <c r="BF97" i="8"/>
  <c r="AZ97" i="8"/>
  <c r="CP81" i="8" l="1"/>
  <c r="CS81" i="8"/>
  <c r="CR81" i="8"/>
  <c r="BL98" i="8"/>
  <c r="BQ95" i="8"/>
  <c r="BP96" i="8"/>
  <c r="BS97" i="8" s="1"/>
  <c r="BO96" i="8"/>
  <c r="AT96" i="8"/>
  <c r="BN98" i="8"/>
  <c r="AE99" i="8"/>
  <c r="BM98" i="8"/>
  <c r="C122" i="11"/>
  <c r="D121" i="11"/>
  <c r="AD197" i="8" s="1"/>
  <c r="AG97" i="8"/>
  <c r="BZ97" i="8" s="1"/>
  <c r="DZ83" i="8"/>
  <c r="DY83" i="8"/>
  <c r="FQ84" i="8"/>
  <c r="FS84" i="8" s="1"/>
  <c r="FV84" i="8"/>
  <c r="FY84" i="8"/>
  <c r="FM85" i="8"/>
  <c r="GA85" i="8"/>
  <c r="GB85" i="8" s="1"/>
  <c r="AY98" i="8"/>
  <c r="ER85" i="8"/>
  <c r="BF98" i="8"/>
  <c r="BE98" i="8"/>
  <c r="AF99" i="8"/>
  <c r="AZ98" i="8"/>
  <c r="CQ81" i="8" l="1"/>
  <c r="CT81" i="8" s="1"/>
  <c r="BC81" i="8" s="1"/>
  <c r="BH81" i="8" s="1"/>
  <c r="BJ81" i="8" s="1"/>
  <c r="BL99" i="8"/>
  <c r="BQ96" i="8"/>
  <c r="AT97" i="8"/>
  <c r="BP97" i="8"/>
  <c r="BS98" i="8" s="1"/>
  <c r="BO97" i="8"/>
  <c r="BN99" i="8"/>
  <c r="AE100" i="8"/>
  <c r="BM99" i="8"/>
  <c r="C123" i="11"/>
  <c r="D122" i="11"/>
  <c r="AD198" i="8" s="1"/>
  <c r="AG98" i="8"/>
  <c r="BZ98" i="8" s="1"/>
  <c r="ED83" i="8"/>
  <c r="EB83" i="8"/>
  <c r="DS84" i="8" s="1"/>
  <c r="FT84" i="8"/>
  <c r="FU84" i="8"/>
  <c r="FW84" i="8" s="1"/>
  <c r="FN85" i="8" s="1"/>
  <c r="FX85" i="8" s="1"/>
  <c r="AY99" i="8"/>
  <c r="ES85" i="8"/>
  <c r="ET85" i="8" s="1"/>
  <c r="EU85" i="8" s="1"/>
  <c r="EP86" i="8"/>
  <c r="AF100" i="8"/>
  <c r="BF99" i="8"/>
  <c r="AZ99" i="8"/>
  <c r="BE99" i="8"/>
  <c r="AB81" i="8" l="1"/>
  <c r="AC81" i="8"/>
  <c r="AI82" i="8"/>
  <c r="BL100" i="8"/>
  <c r="BQ97" i="8"/>
  <c r="AT98" i="8"/>
  <c r="BP98" i="8"/>
  <c r="BS99" i="8" s="1"/>
  <c r="BO98" i="8"/>
  <c r="BN100" i="8"/>
  <c r="AE101" i="8"/>
  <c r="BM100" i="8"/>
  <c r="D123" i="11"/>
  <c r="AD199" i="8" s="1"/>
  <c r="C124" i="11"/>
  <c r="AG99" i="8"/>
  <c r="BZ99" i="8" s="1"/>
  <c r="DT84" i="8"/>
  <c r="EF84" i="8"/>
  <c r="EG84" i="8" s="1"/>
  <c r="DQ84" i="8"/>
  <c r="GC85" i="8"/>
  <c r="GD85" i="8" s="1"/>
  <c r="FL85" i="8"/>
  <c r="FO85" i="8"/>
  <c r="AY100" i="8"/>
  <c r="EV85" i="8"/>
  <c r="EQ86" i="8" s="1"/>
  <c r="EO86" i="8" s="1"/>
  <c r="EW85" i="8"/>
  <c r="BE100" i="8"/>
  <c r="AF101" i="8"/>
  <c r="BL101" i="8" s="1"/>
  <c r="AZ100" i="8"/>
  <c r="BF100" i="8"/>
  <c r="BB82" i="8" l="1"/>
  <c r="BA82" i="8"/>
  <c r="AK82" i="8"/>
  <c r="AV82" i="8" s="1"/>
  <c r="AN82" i="8"/>
  <c r="AR82" i="8" s="1"/>
  <c r="BQ98" i="8"/>
  <c r="AT99" i="8"/>
  <c r="BP99" i="8"/>
  <c r="BS100" i="8" s="1"/>
  <c r="BO99" i="8"/>
  <c r="BN101" i="8"/>
  <c r="AE102" i="8"/>
  <c r="BM101" i="8"/>
  <c r="D124" i="11"/>
  <c r="C125" i="11"/>
  <c r="AG100" i="8"/>
  <c r="BZ100" i="8" s="1"/>
  <c r="EE84" i="8"/>
  <c r="DW84" i="8"/>
  <c r="DU84" i="8"/>
  <c r="FP85" i="8"/>
  <c r="FQ85" i="8" s="1"/>
  <c r="FZ85" i="8"/>
  <c r="FR85" i="8"/>
  <c r="AY101" i="8"/>
  <c r="ER86" i="8"/>
  <c r="AZ101" i="8"/>
  <c r="BE101" i="8"/>
  <c r="AF102" i="8"/>
  <c r="BL102" i="8" s="1"/>
  <c r="BF101" i="8"/>
  <c r="AL82" i="8" l="1"/>
  <c r="BQ99" i="8"/>
  <c r="AT100" i="8"/>
  <c r="BP100" i="8"/>
  <c r="BS101" i="8" s="1"/>
  <c r="BO100" i="8"/>
  <c r="BN102" i="8"/>
  <c r="AE103" i="8"/>
  <c r="BM102" i="8"/>
  <c r="D125" i="11"/>
  <c r="C126" i="11"/>
  <c r="AG101" i="8"/>
  <c r="BZ101" i="8" s="1"/>
  <c r="DV84" i="8"/>
  <c r="DX84" i="8" s="1"/>
  <c r="DR85" i="8"/>
  <c r="EA84" i="8"/>
  <c r="FS85" i="8"/>
  <c r="FM86" i="8"/>
  <c r="GA86" i="8"/>
  <c r="GB86" i="8" s="1"/>
  <c r="FY85" i="8"/>
  <c r="FV85" i="8"/>
  <c r="AY102" i="8"/>
  <c r="ES86" i="8"/>
  <c r="ET86" i="8" s="1"/>
  <c r="EU86" i="8" s="1"/>
  <c r="EP87" i="8"/>
  <c r="AF103" i="8"/>
  <c r="BL103" i="8" s="1"/>
  <c r="BF102" i="8"/>
  <c r="BE102" i="8"/>
  <c r="AZ102" i="8"/>
  <c r="AG102" i="8" s="1"/>
  <c r="AM82" i="8" l="1"/>
  <c r="AO82" i="8" s="1"/>
  <c r="BI82" i="8"/>
  <c r="BG82" i="8"/>
  <c r="BZ102" i="8"/>
  <c r="BQ100" i="8"/>
  <c r="AT101" i="8"/>
  <c r="AT102" i="8" s="1"/>
  <c r="BP101" i="8"/>
  <c r="BO101" i="8"/>
  <c r="BP102" i="8"/>
  <c r="BO102" i="8"/>
  <c r="BN103" i="8"/>
  <c r="AE104" i="8"/>
  <c r="BM103" i="8"/>
  <c r="BS103" i="8" s="1"/>
  <c r="C127" i="11"/>
  <c r="D126" i="11"/>
  <c r="DZ84" i="8"/>
  <c r="EB84" i="8" s="1"/>
  <c r="DS85" i="8" s="1"/>
  <c r="DT85" i="8" s="1"/>
  <c r="DY84" i="8"/>
  <c r="FT85" i="8"/>
  <c r="FU85" i="8"/>
  <c r="FW85" i="8" s="1"/>
  <c r="FN86" i="8" s="1"/>
  <c r="AY103" i="8"/>
  <c r="AG103" i="8" s="1"/>
  <c r="EV86" i="8"/>
  <c r="EQ87" i="8" s="1"/>
  <c r="EO87" i="8" s="1"/>
  <c r="EW86" i="8"/>
  <c r="AZ103" i="8"/>
  <c r="BE103" i="8"/>
  <c r="BF103" i="8"/>
  <c r="AF104" i="8"/>
  <c r="BL104" i="8" s="1"/>
  <c r="AP82" i="8" l="1"/>
  <c r="AQ82" i="8"/>
  <c r="AU82" i="8" s="1"/>
  <c r="BQ102" i="8"/>
  <c r="BZ103" i="8"/>
  <c r="BQ101" i="8"/>
  <c r="BS102" i="8"/>
  <c r="AT103" i="8"/>
  <c r="BP103" i="8"/>
  <c r="BO103" i="8"/>
  <c r="BN104" i="8"/>
  <c r="AE105" i="8"/>
  <c r="BM104" i="8"/>
  <c r="BS104" i="8" s="1"/>
  <c r="D127" i="11"/>
  <c r="C128" i="11"/>
  <c r="AG104" i="8"/>
  <c r="ED84" i="8"/>
  <c r="DU85" i="8"/>
  <c r="EE85" i="8"/>
  <c r="DW85" i="8"/>
  <c r="DQ85" i="8"/>
  <c r="EF85" i="8"/>
  <c r="EG85" i="8" s="1"/>
  <c r="FO86" i="8"/>
  <c r="GC86" i="8"/>
  <c r="GD86" i="8" s="1"/>
  <c r="FL86" i="8"/>
  <c r="FX86" i="8"/>
  <c r="AY104" i="8"/>
  <c r="ER87" i="8"/>
  <c r="AZ104" i="8"/>
  <c r="AF105" i="8"/>
  <c r="BL105" i="8" s="1"/>
  <c r="BF104" i="8"/>
  <c r="BE104" i="8"/>
  <c r="AS82" i="8" l="1"/>
  <c r="AW83" i="8"/>
  <c r="AJ83" i="8" s="1"/>
  <c r="AH83" i="8" s="1"/>
  <c r="AX82" i="8"/>
  <c r="BD82" i="8"/>
  <c r="DB82" i="8" s="1"/>
  <c r="BZ104" i="8"/>
  <c r="BQ103" i="8"/>
  <c r="EN104" i="8"/>
  <c r="BP104" i="8"/>
  <c r="BO104" i="8"/>
  <c r="BQ83" i="8"/>
  <c r="BN105" i="8"/>
  <c r="AE106" i="8"/>
  <c r="BM105" i="8"/>
  <c r="AT104" i="8"/>
  <c r="C129" i="11"/>
  <c r="D128" i="11"/>
  <c r="AG105" i="8"/>
  <c r="DV85" i="8"/>
  <c r="DX85" i="8" s="1"/>
  <c r="DR86" i="8"/>
  <c r="EA85" i="8"/>
  <c r="FR86" i="8"/>
  <c r="FZ86" i="8"/>
  <c r="FP86" i="8"/>
  <c r="FQ86" i="8" s="1"/>
  <c r="DP104" i="8"/>
  <c r="FK104" i="8"/>
  <c r="GJ104" i="8"/>
  <c r="AY105" i="8"/>
  <c r="ES87" i="8"/>
  <c r="ET87" i="8" s="1"/>
  <c r="EU87" i="8" s="1"/>
  <c r="EP88" i="8"/>
  <c r="AZ105" i="8"/>
  <c r="BE105" i="8"/>
  <c r="BF105" i="8"/>
  <c r="AF106" i="8"/>
  <c r="BL106" i="8" s="1"/>
  <c r="BZ105" i="8" l="1"/>
  <c r="CA82" i="8"/>
  <c r="BQ104" i="8"/>
  <c r="BP105" i="8"/>
  <c r="BQ105" i="8" s="1"/>
  <c r="BO105" i="8"/>
  <c r="BN106" i="8"/>
  <c r="AE107" i="8"/>
  <c r="BM106" i="8"/>
  <c r="AT105" i="8"/>
  <c r="EN105" i="8"/>
  <c r="C130" i="11"/>
  <c r="D129" i="11"/>
  <c r="AG106" i="8"/>
  <c r="BZ106" i="8" s="1"/>
  <c r="FS86" i="8"/>
  <c r="FT86" i="8" s="1"/>
  <c r="DZ85" i="8"/>
  <c r="ED85" i="8" s="1"/>
  <c r="DY85" i="8"/>
  <c r="FM87" i="8"/>
  <c r="GA87" i="8"/>
  <c r="GB87" i="8" s="1"/>
  <c r="FY86" i="8"/>
  <c r="FV86" i="8"/>
  <c r="DP105" i="8"/>
  <c r="FK105" i="8"/>
  <c r="GJ105" i="8"/>
  <c r="AY106" i="8"/>
  <c r="EV87" i="8"/>
  <c r="EQ88" i="8" s="1"/>
  <c r="EO88" i="8" s="1"/>
  <c r="EW87" i="8"/>
  <c r="AZ106" i="8"/>
  <c r="BF106" i="8"/>
  <c r="BE106" i="8"/>
  <c r="AF107" i="8"/>
  <c r="BL107" i="8" s="1"/>
  <c r="CC82" i="8" l="1"/>
  <c r="BU82" i="8"/>
  <c r="BW83" i="8" s="1"/>
  <c r="BV82" i="8"/>
  <c r="BY83" i="8" s="1"/>
  <c r="CB83" i="8" s="1"/>
  <c r="DF82" i="8"/>
  <c r="DE82" i="8"/>
  <c r="DC82" i="8"/>
  <c r="BP106" i="8"/>
  <c r="BQ106" i="8" s="1"/>
  <c r="BO106" i="8"/>
  <c r="AT106" i="8"/>
  <c r="BN107" i="8"/>
  <c r="AE108" i="8"/>
  <c r="BM107" i="8"/>
  <c r="D130" i="11"/>
  <c r="C131" i="11"/>
  <c r="FU86" i="8"/>
  <c r="FW86" i="8" s="1"/>
  <c r="FN87" i="8" s="1"/>
  <c r="FO87" i="8" s="1"/>
  <c r="EB85" i="8"/>
  <c r="DS86" i="8" s="1"/>
  <c r="AY107" i="8"/>
  <c r="AG107" i="8" s="1"/>
  <c r="BZ107" i="8" s="1"/>
  <c r="ER88" i="8"/>
  <c r="AZ107" i="8"/>
  <c r="BE107" i="8"/>
  <c r="AF108" i="8"/>
  <c r="BL108" i="8" s="1"/>
  <c r="BF107" i="8"/>
  <c r="DD82" i="8" l="1"/>
  <c r="DG82" i="8" s="1"/>
  <c r="BP107" i="8"/>
  <c r="BQ107" i="8" s="1"/>
  <c r="BO107" i="8"/>
  <c r="BN108" i="8"/>
  <c r="AE109" i="8"/>
  <c r="BM108" i="8"/>
  <c r="BS108" i="8" s="1"/>
  <c r="AT107" i="8"/>
  <c r="EN107" i="8"/>
  <c r="C132" i="11"/>
  <c r="D131" i="11"/>
  <c r="AG108" i="8"/>
  <c r="BZ108" i="8" s="1"/>
  <c r="EF86" i="8"/>
  <c r="EG86" i="8" s="1"/>
  <c r="DQ86" i="8"/>
  <c r="DT86" i="8"/>
  <c r="FZ87" i="8"/>
  <c r="FP87" i="8"/>
  <c r="FQ87" i="8" s="1"/>
  <c r="FR87" i="8"/>
  <c r="GC87" i="8"/>
  <c r="GD87" i="8" s="1"/>
  <c r="FL87" i="8"/>
  <c r="FX87" i="8"/>
  <c r="DP107" i="8"/>
  <c r="FK107" i="8"/>
  <c r="GJ107" i="8"/>
  <c r="AY108" i="8"/>
  <c r="ES88" i="8"/>
  <c r="ET88" i="8" s="1"/>
  <c r="EU88" i="8" s="1"/>
  <c r="EP89" i="8"/>
  <c r="AZ108" i="8"/>
  <c r="BF108" i="8"/>
  <c r="BE108" i="8"/>
  <c r="AF109" i="8"/>
  <c r="BL109" i="8" s="1"/>
  <c r="BR108" i="8" l="1"/>
  <c r="BP108" i="8"/>
  <c r="BQ108" i="8" s="1"/>
  <c r="BO108" i="8"/>
  <c r="BN109" i="8"/>
  <c r="AE110" i="8"/>
  <c r="BM109" i="8"/>
  <c r="BS109" i="8" s="1"/>
  <c r="AT108" i="8"/>
  <c r="EN108" i="8"/>
  <c r="C133" i="11"/>
  <c r="D132" i="11"/>
  <c r="AG109" i="8"/>
  <c r="BZ109" i="8" s="1"/>
  <c r="DW86" i="8"/>
  <c r="EE86" i="8"/>
  <c r="DU86" i="8"/>
  <c r="FM88" i="8"/>
  <c r="GA88" i="8"/>
  <c r="GB88" i="8" s="1"/>
  <c r="FY87" i="8"/>
  <c r="FV87" i="8"/>
  <c r="FS87" i="8"/>
  <c r="DP108" i="8"/>
  <c r="FK108" i="8"/>
  <c r="GJ108" i="8"/>
  <c r="AY109" i="8"/>
  <c r="EV88" i="8"/>
  <c r="EQ89" i="8" s="1"/>
  <c r="EO89" i="8" s="1"/>
  <c r="EW88" i="8"/>
  <c r="AZ109" i="8"/>
  <c r="BE109" i="8"/>
  <c r="AF110" i="8"/>
  <c r="BL110" i="8" s="1"/>
  <c r="BF109" i="8"/>
  <c r="BR109" i="8" l="1"/>
  <c r="BP109" i="8"/>
  <c r="BQ109" i="8" s="1"/>
  <c r="BO109" i="8"/>
  <c r="BN110" i="8"/>
  <c r="AE111" i="8"/>
  <c r="BM110" i="8"/>
  <c r="BS110" i="8" s="1"/>
  <c r="AT109" i="8"/>
  <c r="EN109" i="8"/>
  <c r="D133" i="11"/>
  <c r="C134" i="11"/>
  <c r="AG110" i="8"/>
  <c r="BZ110" i="8" s="1"/>
  <c r="DV86" i="8"/>
  <c r="DX86" i="8" s="1"/>
  <c r="DR87" i="8"/>
  <c r="EA86" i="8"/>
  <c r="FU87" i="8"/>
  <c r="FW87" i="8" s="1"/>
  <c r="FN88" i="8" s="1"/>
  <c r="FO88" i="8" s="1"/>
  <c r="FT87" i="8"/>
  <c r="DP109" i="8"/>
  <c r="FK109" i="8"/>
  <c r="GJ109" i="8"/>
  <c r="AY110" i="8"/>
  <c r="ER89" i="8"/>
  <c r="AZ110" i="8"/>
  <c r="BF110" i="8"/>
  <c r="AF111" i="8"/>
  <c r="BL111" i="8" s="1"/>
  <c r="BE110" i="8"/>
  <c r="AN83" i="8" l="1"/>
  <c r="AR83" i="8" s="1"/>
  <c r="BR110" i="8"/>
  <c r="BP110" i="8"/>
  <c r="BQ110" i="8" s="1"/>
  <c r="BO110" i="8"/>
  <c r="BN111" i="8"/>
  <c r="AE112" i="8"/>
  <c r="BM111" i="8"/>
  <c r="BS111" i="8" s="1"/>
  <c r="AT110" i="8"/>
  <c r="EN110" i="8"/>
  <c r="D134" i="11"/>
  <c r="C135" i="11"/>
  <c r="AG111" i="8"/>
  <c r="BZ111" i="8" s="1"/>
  <c r="DY86" i="8"/>
  <c r="DZ86" i="8"/>
  <c r="EB86" i="8" s="1"/>
  <c r="DS87" i="8" s="1"/>
  <c r="DT87" i="8" s="1"/>
  <c r="FX88" i="8"/>
  <c r="FR88" i="8"/>
  <c r="FM89" i="8" s="1"/>
  <c r="FP88" i="8"/>
  <c r="FQ88" i="8" s="1"/>
  <c r="FZ88" i="8"/>
  <c r="GC88" i="8"/>
  <c r="GD88" i="8" s="1"/>
  <c r="FL88" i="8"/>
  <c r="DP110" i="8"/>
  <c r="FK110" i="8"/>
  <c r="GJ110" i="8"/>
  <c r="AY111" i="8"/>
  <c r="EP90" i="8"/>
  <c r="ES89" i="8"/>
  <c r="ET89" i="8" s="1"/>
  <c r="EU89" i="8" s="1"/>
  <c r="AF112" i="8"/>
  <c r="BL112" i="8" s="1"/>
  <c r="AZ111" i="8"/>
  <c r="BE111" i="8"/>
  <c r="BF111" i="8"/>
  <c r="BR111" i="8" l="1"/>
  <c r="BP111" i="8"/>
  <c r="BQ111" i="8" s="1"/>
  <c r="BO111" i="8"/>
  <c r="BQ84" i="8"/>
  <c r="BN112" i="8"/>
  <c r="AE113" i="8"/>
  <c r="BM112" i="8"/>
  <c r="BS112" i="8" s="1"/>
  <c r="AT111" i="8"/>
  <c r="EN111" i="8"/>
  <c r="D135" i="11"/>
  <c r="C136" i="11"/>
  <c r="FS88" i="8"/>
  <c r="FT88" i="8" s="1"/>
  <c r="ED86" i="8"/>
  <c r="EF87" i="8"/>
  <c r="EG87" i="8" s="1"/>
  <c r="DQ87" i="8"/>
  <c r="EE87" i="8"/>
  <c r="DU87" i="8"/>
  <c r="DW87" i="8"/>
  <c r="GA89" i="8"/>
  <c r="GB89" i="8" s="1"/>
  <c r="FY88" i="8"/>
  <c r="FV88" i="8"/>
  <c r="DP111" i="8"/>
  <c r="FK111" i="8"/>
  <c r="GJ111" i="8"/>
  <c r="AY112" i="8"/>
  <c r="AG112" i="8" s="1"/>
  <c r="BZ112" i="8" s="1"/>
  <c r="EV89" i="8"/>
  <c r="EQ90" i="8" s="1"/>
  <c r="EO90" i="8" s="1"/>
  <c r="EW89" i="8"/>
  <c r="AF113" i="8"/>
  <c r="BL113" i="8" s="1"/>
  <c r="BF112" i="8"/>
  <c r="AZ112" i="8"/>
  <c r="BE112" i="8"/>
  <c r="BD83" i="8" l="1"/>
  <c r="BR112" i="8"/>
  <c r="BP112" i="8"/>
  <c r="BQ112" i="8" s="1"/>
  <c r="BO112" i="8"/>
  <c r="BN113" i="8"/>
  <c r="AE114" i="8"/>
  <c r="BM113" i="8"/>
  <c r="BS113" i="8" s="1"/>
  <c r="AT112" i="8"/>
  <c r="EN112" i="8"/>
  <c r="FU88" i="8"/>
  <c r="FW88" i="8" s="1"/>
  <c r="FN89" i="8" s="1"/>
  <c r="D136" i="11"/>
  <c r="C137" i="11"/>
  <c r="AG113" i="8"/>
  <c r="BZ113" i="8" s="1"/>
  <c r="DR88" i="8"/>
  <c r="EA87" i="8"/>
  <c r="DV87" i="8"/>
  <c r="DX87" i="8" s="1"/>
  <c r="DP112" i="8"/>
  <c r="FK112" i="8"/>
  <c r="GJ112" i="8"/>
  <c r="AY113" i="8"/>
  <c r="ER90" i="8"/>
  <c r="EP91" i="8" s="1"/>
  <c r="BF113" i="8"/>
  <c r="AF114" i="8"/>
  <c r="BL114" i="8" s="1"/>
  <c r="BE113" i="8"/>
  <c r="AZ113" i="8"/>
  <c r="AW84" i="8" l="1"/>
  <c r="AX83" i="8"/>
  <c r="BR113" i="8"/>
  <c r="BP113" i="8"/>
  <c r="BQ113" i="8" s="1"/>
  <c r="BO113" i="8"/>
  <c r="BN114" i="8"/>
  <c r="AE115" i="8"/>
  <c r="BM114" i="8"/>
  <c r="BS114" i="8" s="1"/>
  <c r="AT113" i="8"/>
  <c r="EN113" i="8"/>
  <c r="D137" i="11"/>
  <c r="C138" i="11"/>
  <c r="AG114" i="8"/>
  <c r="BZ114" i="8" s="1"/>
  <c r="DZ87" i="8"/>
  <c r="DY87" i="8"/>
  <c r="ES90" i="8"/>
  <c r="ET90" i="8" s="1"/>
  <c r="EU90" i="8" s="1"/>
  <c r="EV90" i="8" s="1"/>
  <c r="EQ91" i="8" s="1"/>
  <c r="EO91" i="8" s="1"/>
  <c r="GC89" i="8"/>
  <c r="GD89" i="8" s="1"/>
  <c r="FO89" i="8"/>
  <c r="FL89" i="8"/>
  <c r="FX89" i="8"/>
  <c r="DP113" i="8"/>
  <c r="FK113" i="8"/>
  <c r="GJ113" i="8"/>
  <c r="AY114" i="8"/>
  <c r="BF114" i="8"/>
  <c r="AF115" i="8"/>
  <c r="BL115" i="8" s="1"/>
  <c r="AZ114" i="8"/>
  <c r="BE114" i="8"/>
  <c r="BR114" i="8" l="1"/>
  <c r="BP114" i="8"/>
  <c r="BQ114" i="8" s="1"/>
  <c r="BO114" i="8"/>
  <c r="BN115" i="8"/>
  <c r="AE116" i="8"/>
  <c r="BM115" i="8"/>
  <c r="BS115" i="8" s="1"/>
  <c r="AT114" i="8"/>
  <c r="EN114" i="8"/>
  <c r="D138" i="11"/>
  <c r="C139" i="11"/>
  <c r="ED87" i="8"/>
  <c r="EB87" i="8"/>
  <c r="DS88" i="8" s="1"/>
  <c r="ER91" i="8"/>
  <c r="ES91" i="8" s="1"/>
  <c r="ET91" i="8" s="1"/>
  <c r="EU91" i="8" s="1"/>
  <c r="EV91" i="8" s="1"/>
  <c r="EQ92" i="8" s="1"/>
  <c r="EO92" i="8" s="1"/>
  <c r="EW90" i="8"/>
  <c r="FR89" i="8"/>
  <c r="FM90" i="8" s="1"/>
  <c r="FZ89" i="8"/>
  <c r="FP89" i="8"/>
  <c r="DP114" i="8"/>
  <c r="FK114" i="8"/>
  <c r="GJ114" i="8"/>
  <c r="AY115" i="8"/>
  <c r="AG115" i="8" s="1"/>
  <c r="BZ115" i="8" s="1"/>
  <c r="AF116" i="8"/>
  <c r="BL116" i="8" s="1"/>
  <c r="BE115" i="8"/>
  <c r="BF115" i="8"/>
  <c r="AZ115" i="8"/>
  <c r="BR115" i="8" l="1"/>
  <c r="BP115" i="8"/>
  <c r="BQ115" i="8" s="1"/>
  <c r="BO115" i="8"/>
  <c r="BN116" i="8"/>
  <c r="AE117" i="8"/>
  <c r="BM116" i="8"/>
  <c r="BS116" i="8" s="1"/>
  <c r="AT115" i="8"/>
  <c r="EN115" i="8"/>
  <c r="D139" i="11"/>
  <c r="C140" i="11"/>
  <c r="AG116" i="8"/>
  <c r="BZ116" i="8" s="1"/>
  <c r="EF88" i="8"/>
  <c r="EG88" i="8" s="1"/>
  <c r="DQ88" i="8"/>
  <c r="DT88" i="8"/>
  <c r="EP92" i="8"/>
  <c r="ER92" i="8" s="1"/>
  <c r="GA90" i="8"/>
  <c r="GB90" i="8" s="1"/>
  <c r="FY89" i="8"/>
  <c r="FV89" i="8"/>
  <c r="FQ89" i="8"/>
  <c r="FS89" i="8" s="1"/>
  <c r="DP115" i="8"/>
  <c r="FK115" i="8"/>
  <c r="GJ115" i="8"/>
  <c r="AY116" i="8"/>
  <c r="EW91" i="8"/>
  <c r="AF117" i="8"/>
  <c r="BL117" i="8" s="1"/>
  <c r="BF116" i="8"/>
  <c r="BE116" i="8"/>
  <c r="AZ116" i="8"/>
  <c r="BR116" i="8" l="1"/>
  <c r="BP116" i="8"/>
  <c r="BQ116" i="8" s="1"/>
  <c r="BO116" i="8"/>
  <c r="BN117" i="8"/>
  <c r="AE118" i="8"/>
  <c r="BM117" i="8"/>
  <c r="BS117" i="8" s="1"/>
  <c r="AT116" i="8"/>
  <c r="EN116" i="8"/>
  <c r="D140" i="11"/>
  <c r="C141" i="11"/>
  <c r="AG117" i="8"/>
  <c r="BZ117" i="8" s="1"/>
  <c r="DU88" i="8"/>
  <c r="DW88" i="8"/>
  <c r="EE88" i="8"/>
  <c r="FU89" i="8"/>
  <c r="FW89" i="8" s="1"/>
  <c r="FN90" i="8" s="1"/>
  <c r="FT89" i="8"/>
  <c r="DP116" i="8"/>
  <c r="FK116" i="8"/>
  <c r="GJ116" i="8"/>
  <c r="AY117" i="8"/>
  <c r="EP93" i="8"/>
  <c r="ES92" i="8"/>
  <c r="ET92" i="8" s="1"/>
  <c r="EU92" i="8" s="1"/>
  <c r="EV92" i="8" s="1"/>
  <c r="EQ93" i="8" s="1"/>
  <c r="EO93" i="8" s="1"/>
  <c r="AF118" i="8"/>
  <c r="BL118" i="8" s="1"/>
  <c r="BE117" i="8"/>
  <c r="AZ117" i="8"/>
  <c r="BF117" i="8"/>
  <c r="BR117" i="8" l="1"/>
  <c r="BP117" i="8"/>
  <c r="BQ117" i="8" s="1"/>
  <c r="BO117" i="8"/>
  <c r="BQ85" i="8"/>
  <c r="BN118" i="8"/>
  <c r="AE119" i="8"/>
  <c r="BM118" i="8"/>
  <c r="BS118" i="8" s="1"/>
  <c r="AT117" i="8"/>
  <c r="EN117" i="8"/>
  <c r="D141" i="11"/>
  <c r="C142" i="11"/>
  <c r="AG118" i="8"/>
  <c r="BZ118" i="8" s="1"/>
  <c r="DR89" i="8"/>
  <c r="EA88" i="8"/>
  <c r="DV88" i="8"/>
  <c r="DX88" i="8" s="1"/>
  <c r="GC90" i="8"/>
  <c r="GD90" i="8" s="1"/>
  <c r="FL90" i="8"/>
  <c r="FO90" i="8"/>
  <c r="FX90" i="8"/>
  <c r="AY118" i="8"/>
  <c r="DP117" i="8"/>
  <c r="FK117" i="8"/>
  <c r="GJ117" i="8"/>
  <c r="ER93" i="8"/>
  <c r="EW92" i="8"/>
  <c r="BF118" i="8"/>
  <c r="AF119" i="8"/>
  <c r="BL119" i="8" s="1"/>
  <c r="AZ118" i="8"/>
  <c r="BE118" i="8"/>
  <c r="AN84" i="8" l="1"/>
  <c r="BR118" i="8"/>
  <c r="BP118" i="8"/>
  <c r="BQ118" i="8" s="1"/>
  <c r="BO118" i="8"/>
  <c r="BN119" i="8"/>
  <c r="AE120" i="8"/>
  <c r="BM119" i="8"/>
  <c r="BS119" i="8" s="1"/>
  <c r="AT118" i="8"/>
  <c r="EN118" i="8"/>
  <c r="D142" i="11"/>
  <c r="C143" i="11"/>
  <c r="AG119" i="8"/>
  <c r="BZ119" i="8" s="1"/>
  <c r="DY88" i="8"/>
  <c r="DZ88" i="8"/>
  <c r="ED88" i="8" s="1"/>
  <c r="FR90" i="8"/>
  <c r="FP90" i="8"/>
  <c r="FQ90" i="8" s="1"/>
  <c r="FZ90" i="8"/>
  <c r="DP118" i="8"/>
  <c r="FK118" i="8"/>
  <c r="GJ118" i="8"/>
  <c r="AY119" i="8"/>
  <c r="EP94" i="8"/>
  <c r="ES93" i="8"/>
  <c r="ET93" i="8" s="1"/>
  <c r="EU93" i="8" s="1"/>
  <c r="EV93" i="8" s="1"/>
  <c r="EQ94" i="8" s="1"/>
  <c r="EO94" i="8" s="1"/>
  <c r="AZ119" i="8"/>
  <c r="AF120" i="8"/>
  <c r="BL120" i="8" s="1"/>
  <c r="BF119" i="8"/>
  <c r="BE119" i="8"/>
  <c r="BR119" i="8" l="1"/>
  <c r="BP119" i="8"/>
  <c r="BQ119" i="8" s="1"/>
  <c r="BO119" i="8"/>
  <c r="BN120" i="8"/>
  <c r="AE121" i="8"/>
  <c r="BM120" i="8"/>
  <c r="BS120" i="8" s="1"/>
  <c r="AT119" i="8"/>
  <c r="EN119" i="8"/>
  <c r="FS90" i="8"/>
  <c r="FU90" i="8" s="1"/>
  <c r="D143" i="11"/>
  <c r="C144" i="11"/>
  <c r="EB88" i="8"/>
  <c r="DS89" i="8" s="1"/>
  <c r="DT89" i="8" s="1"/>
  <c r="AG120" i="8"/>
  <c r="BZ120" i="8" s="1"/>
  <c r="FM91" i="8"/>
  <c r="GA91" i="8"/>
  <c r="GB91" i="8" s="1"/>
  <c r="FY90" i="8"/>
  <c r="FV90" i="8"/>
  <c r="DP119" i="8"/>
  <c r="FK119" i="8"/>
  <c r="GJ119" i="8"/>
  <c r="AY120" i="8"/>
  <c r="EW93" i="8"/>
  <c r="ER94" i="8"/>
  <c r="BF120" i="8"/>
  <c r="BE120" i="8"/>
  <c r="AF121" i="8"/>
  <c r="BL121" i="8" s="1"/>
  <c r="AZ120" i="8"/>
  <c r="BR120" i="8" l="1"/>
  <c r="BP120" i="8"/>
  <c r="BQ120" i="8" s="1"/>
  <c r="BO120" i="8"/>
  <c r="BN121" i="8"/>
  <c r="AE122" i="8"/>
  <c r="BM121" i="8"/>
  <c r="BS121" i="8" s="1"/>
  <c r="AT120" i="8"/>
  <c r="EN120" i="8"/>
  <c r="FT90" i="8"/>
  <c r="D144" i="11"/>
  <c r="C145" i="11"/>
  <c r="DQ89" i="8"/>
  <c r="EF89" i="8"/>
  <c r="EG89" i="8" s="1"/>
  <c r="AG121" i="8"/>
  <c r="BZ121" i="8" s="1"/>
  <c r="EE89" i="8"/>
  <c r="DW89" i="8"/>
  <c r="EA89" i="8" s="1"/>
  <c r="DU89" i="8"/>
  <c r="FW90" i="8"/>
  <c r="FN91" i="8" s="1"/>
  <c r="FO91" i="8" s="1"/>
  <c r="DP120" i="8"/>
  <c r="FK120" i="8"/>
  <c r="GJ120" i="8"/>
  <c r="AY121" i="8"/>
  <c r="ES94" i="8"/>
  <c r="EP95" i="8"/>
  <c r="AZ121" i="8"/>
  <c r="BE121" i="8"/>
  <c r="BF121" i="8"/>
  <c r="AF122" i="8"/>
  <c r="BL122" i="8" s="1"/>
  <c r="AW85" i="8" l="1"/>
  <c r="BD84" i="8"/>
  <c r="AX84" i="8"/>
  <c r="BR121" i="8"/>
  <c r="BP121" i="8"/>
  <c r="BQ121" i="8" s="1"/>
  <c r="BO121" i="8"/>
  <c r="BN122" i="8"/>
  <c r="AE123" i="8"/>
  <c r="BM122" i="8"/>
  <c r="BS122" i="8" s="1"/>
  <c r="AT121" i="8"/>
  <c r="EN121" i="8"/>
  <c r="C146" i="11"/>
  <c r="D145" i="11"/>
  <c r="AG122" i="8"/>
  <c r="BZ122" i="8" s="1"/>
  <c r="DR90" i="8"/>
  <c r="DV89" i="8"/>
  <c r="DX89" i="8" s="1"/>
  <c r="FP91" i="8"/>
  <c r="FQ91" i="8" s="1"/>
  <c r="FZ91" i="8"/>
  <c r="FR91" i="8"/>
  <c r="GC91" i="8"/>
  <c r="GD91" i="8" s="1"/>
  <c r="FL91" i="8"/>
  <c r="FX91" i="8"/>
  <c r="DP121" i="8"/>
  <c r="FK121" i="8"/>
  <c r="GJ121" i="8"/>
  <c r="AY122" i="8"/>
  <c r="ET94" i="8"/>
  <c r="EU94" i="8" s="1"/>
  <c r="AZ122" i="8"/>
  <c r="BE122" i="8"/>
  <c r="BF122" i="8"/>
  <c r="AF123" i="8"/>
  <c r="BL123" i="8" s="1"/>
  <c r="BR122" i="8" l="1"/>
  <c r="BP122" i="8"/>
  <c r="BQ122" i="8" s="1"/>
  <c r="BO122" i="8"/>
  <c r="AT122" i="8"/>
  <c r="BN123" i="8"/>
  <c r="AE124" i="8"/>
  <c r="BM123" i="8"/>
  <c r="BS123" i="8" s="1"/>
  <c r="C147" i="11"/>
  <c r="D146" i="11"/>
  <c r="AG123" i="8"/>
  <c r="BZ123" i="8" s="1"/>
  <c r="DZ89" i="8"/>
  <c r="DY89" i="8"/>
  <c r="FM92" i="8"/>
  <c r="GA92" i="8"/>
  <c r="GB92" i="8" s="1"/>
  <c r="FY91" i="8"/>
  <c r="FV91" i="8"/>
  <c r="FS91" i="8"/>
  <c r="AY123" i="8"/>
  <c r="EV94" i="8"/>
  <c r="EQ95" i="8" s="1"/>
  <c r="EW94" i="8"/>
  <c r="BF123" i="8"/>
  <c r="BE123" i="8"/>
  <c r="AZ123" i="8"/>
  <c r="AF124" i="8"/>
  <c r="BL124" i="8" s="1"/>
  <c r="BR123" i="8" l="1"/>
  <c r="BP123" i="8"/>
  <c r="BQ123" i="8" s="1"/>
  <c r="BO123" i="8"/>
  <c r="BQ86" i="8"/>
  <c r="AT123" i="8"/>
  <c r="BN124" i="8"/>
  <c r="AE125" i="8"/>
  <c r="BM124" i="8"/>
  <c r="D147" i="11"/>
  <c r="C148" i="11"/>
  <c r="AG124" i="8"/>
  <c r="BZ124" i="8" s="1"/>
  <c r="EB89" i="8"/>
  <c r="DS90" i="8" s="1"/>
  <c r="ED89" i="8"/>
  <c r="FU91" i="8"/>
  <c r="FW91" i="8" s="1"/>
  <c r="FN92" i="8" s="1"/>
  <c r="FT91" i="8"/>
  <c r="DP123" i="8"/>
  <c r="FK123" i="8"/>
  <c r="GJ123" i="8"/>
  <c r="AY124" i="8"/>
  <c r="EO95" i="8"/>
  <c r="ER95" i="8"/>
  <c r="BF124" i="8"/>
  <c r="AZ124" i="8"/>
  <c r="BE124" i="8"/>
  <c r="AF125" i="8"/>
  <c r="BL125" i="8" s="1"/>
  <c r="BT123" i="8" l="1"/>
  <c r="BS124" i="8"/>
  <c r="BT124" i="8"/>
  <c r="BY124" i="8" s="1"/>
  <c r="AT124" i="8"/>
  <c r="BP124" i="8"/>
  <c r="BQ124" i="8" s="1"/>
  <c r="BO124" i="8"/>
  <c r="BN125" i="8"/>
  <c r="AE126" i="8"/>
  <c r="BM125" i="8"/>
  <c r="BS125" i="8" s="1"/>
  <c r="C149" i="11"/>
  <c r="D148" i="11"/>
  <c r="AG125" i="8"/>
  <c r="BZ125" i="8" s="1"/>
  <c r="DT90" i="8"/>
  <c r="EF90" i="8"/>
  <c r="EG90" i="8" s="1"/>
  <c r="DQ90" i="8"/>
  <c r="GC92" i="8"/>
  <c r="GD92" i="8" s="1"/>
  <c r="FL92" i="8"/>
  <c r="FX92" i="8"/>
  <c r="FO92" i="8"/>
  <c r="DP124" i="8"/>
  <c r="FK124" i="8"/>
  <c r="GJ124" i="8"/>
  <c r="AY125" i="8"/>
  <c r="EP96" i="8"/>
  <c r="ES95" i="8"/>
  <c r="ET95" i="8" s="1"/>
  <c r="EU95" i="8" s="1"/>
  <c r="AZ125" i="8"/>
  <c r="BE125" i="8"/>
  <c r="AF126" i="8"/>
  <c r="BL126" i="8" s="1"/>
  <c r="BF125" i="8"/>
  <c r="BR124" i="8" l="1"/>
  <c r="BR125" i="8"/>
  <c r="BT125" i="8"/>
  <c r="BY125" i="8" s="1"/>
  <c r="AT125" i="8"/>
  <c r="BP125" i="8"/>
  <c r="BQ125" i="8" s="1"/>
  <c r="BO125" i="8"/>
  <c r="BN126" i="8"/>
  <c r="AE127" i="8"/>
  <c r="BM126" i="8"/>
  <c r="C150" i="11"/>
  <c r="D149" i="11"/>
  <c r="AG126" i="8"/>
  <c r="BZ126" i="8" s="1"/>
  <c r="DW90" i="8"/>
  <c r="DR91" i="8" s="1"/>
  <c r="EE90" i="8"/>
  <c r="DU90" i="8"/>
  <c r="DV90" i="8" s="1"/>
  <c r="FR92" i="8"/>
  <c r="FP92" i="8"/>
  <c r="FZ92" i="8"/>
  <c r="DP125" i="8"/>
  <c r="FK125" i="8"/>
  <c r="GJ125" i="8"/>
  <c r="AY126" i="8"/>
  <c r="EV95" i="8"/>
  <c r="EQ96" i="8" s="1"/>
  <c r="EO96" i="8" s="1"/>
  <c r="EW95" i="8"/>
  <c r="AF127" i="8"/>
  <c r="BL127" i="8" s="1"/>
  <c r="BF126" i="8"/>
  <c r="AZ126" i="8"/>
  <c r="BE126" i="8"/>
  <c r="AN85" i="8" l="1"/>
  <c r="BS126" i="8"/>
  <c r="BT126" i="8"/>
  <c r="BY126" i="8" s="1"/>
  <c r="AT126" i="8"/>
  <c r="BP126" i="8"/>
  <c r="BQ126" i="8" s="1"/>
  <c r="BO126" i="8"/>
  <c r="BN127" i="8"/>
  <c r="DX90" i="8"/>
  <c r="DY90" i="8" s="1"/>
  <c r="AE128" i="8"/>
  <c r="BM127" i="8"/>
  <c r="C151" i="11"/>
  <c r="D150" i="11"/>
  <c r="AG127" i="8"/>
  <c r="BZ127" i="8" s="1"/>
  <c r="EA90" i="8"/>
  <c r="FQ92" i="8"/>
  <c r="FS92" i="8" s="1"/>
  <c r="FM93" i="8"/>
  <c r="GA93" i="8"/>
  <c r="GB93" i="8" s="1"/>
  <c r="FV92" i="8"/>
  <c r="FY92" i="8"/>
  <c r="DP126" i="8"/>
  <c r="FK126" i="8"/>
  <c r="GJ126" i="8"/>
  <c r="AY127" i="8"/>
  <c r="ER96" i="8"/>
  <c r="ES96" i="8" s="1"/>
  <c r="ET96" i="8" s="1"/>
  <c r="EU96" i="8" s="1"/>
  <c r="EV96" i="8" s="1"/>
  <c r="EQ97" i="8" s="1"/>
  <c r="EO97" i="8" s="1"/>
  <c r="AF128" i="8"/>
  <c r="BL128" i="8" s="1"/>
  <c r="BF127" i="8"/>
  <c r="BE127" i="8"/>
  <c r="AZ127" i="8"/>
  <c r="BR126" i="8" l="1"/>
  <c r="BS127" i="8"/>
  <c r="BT127" i="8"/>
  <c r="BY127" i="8" s="1"/>
  <c r="AT127" i="8"/>
  <c r="BP127" i="8"/>
  <c r="BQ127" i="8" s="1"/>
  <c r="BO127" i="8"/>
  <c r="DZ90" i="8"/>
  <c r="EB90" i="8" s="1"/>
  <c r="DS91" i="8" s="1"/>
  <c r="DT91" i="8" s="1"/>
  <c r="DU91" i="8" s="1"/>
  <c r="DV91" i="8" s="1"/>
  <c r="BN128" i="8"/>
  <c r="AE129" i="8"/>
  <c r="BM128" i="8"/>
  <c r="BS128" i="8" s="1"/>
  <c r="D151" i="11"/>
  <c r="C152" i="11"/>
  <c r="AG128" i="8"/>
  <c r="BZ128" i="8" s="1"/>
  <c r="EP97" i="8"/>
  <c r="ER97" i="8" s="1"/>
  <c r="FT92" i="8"/>
  <c r="FU92" i="8"/>
  <c r="FW92" i="8" s="1"/>
  <c r="FN93" i="8" s="1"/>
  <c r="DP127" i="8"/>
  <c r="FK127" i="8"/>
  <c r="GJ127" i="8"/>
  <c r="AY128" i="8"/>
  <c r="EW96" i="8"/>
  <c r="BF128" i="8"/>
  <c r="AF129" i="8"/>
  <c r="BL129" i="8" s="1"/>
  <c r="AZ128" i="8"/>
  <c r="BE128" i="8"/>
  <c r="BR127" i="8" l="1"/>
  <c r="ED90" i="8"/>
  <c r="BR128" i="8"/>
  <c r="BT128" i="8"/>
  <c r="BY128" i="8" s="1"/>
  <c r="AT128" i="8"/>
  <c r="BP128" i="8"/>
  <c r="BQ128" i="8" s="1"/>
  <c r="BO128" i="8"/>
  <c r="BQ87" i="8"/>
  <c r="BN129" i="8"/>
  <c r="AE130" i="8"/>
  <c r="BM129" i="8"/>
  <c r="BS129" i="8" s="1"/>
  <c r="D152" i="11"/>
  <c r="C153" i="11"/>
  <c r="AG129" i="8"/>
  <c r="BZ129" i="8" s="1"/>
  <c r="DQ91" i="8"/>
  <c r="EF91" i="8"/>
  <c r="EG91" i="8" s="1"/>
  <c r="EE91" i="8"/>
  <c r="DW91" i="8"/>
  <c r="DX91" i="8" s="1"/>
  <c r="GC93" i="8"/>
  <c r="GD93" i="8" s="1"/>
  <c r="FL93" i="8"/>
  <c r="FO93" i="8"/>
  <c r="FX93" i="8"/>
  <c r="DP128" i="8"/>
  <c r="FK128" i="8"/>
  <c r="GJ128" i="8"/>
  <c r="AY129" i="8"/>
  <c r="ES97" i="8"/>
  <c r="ET97" i="8" s="1"/>
  <c r="EU97" i="8" s="1"/>
  <c r="EV97" i="8" s="1"/>
  <c r="EQ98" i="8" s="1"/>
  <c r="EO98" i="8" s="1"/>
  <c r="EP98" i="8"/>
  <c r="AZ129" i="8"/>
  <c r="BE129" i="8"/>
  <c r="AF130" i="8"/>
  <c r="BL130" i="8" s="1"/>
  <c r="BF129" i="8"/>
  <c r="BD85" i="8" l="1"/>
  <c r="AW86" i="8"/>
  <c r="BT122" i="8"/>
  <c r="BT88" i="8"/>
  <c r="AX85" i="8"/>
  <c r="BR129" i="8"/>
  <c r="AT129" i="8"/>
  <c r="BP129" i="8"/>
  <c r="BQ129" i="8" s="1"/>
  <c r="BO129" i="8"/>
  <c r="BT129" i="8"/>
  <c r="BY129" i="8" s="1"/>
  <c r="BN130" i="8"/>
  <c r="AE131" i="8"/>
  <c r="BM130" i="8"/>
  <c r="BR130" i="8" s="1"/>
  <c r="C154" i="11"/>
  <c r="D153" i="11"/>
  <c r="AG130" i="8"/>
  <c r="BZ130" i="8" s="1"/>
  <c r="EA91" i="8"/>
  <c r="DR92" i="8"/>
  <c r="DY91" i="8"/>
  <c r="DZ91" i="8"/>
  <c r="FZ93" i="8"/>
  <c r="FR93" i="8"/>
  <c r="FM94" i="8" s="1"/>
  <c r="FP93" i="8"/>
  <c r="FQ93" i="8" s="1"/>
  <c r="DP129" i="8"/>
  <c r="FK129" i="8"/>
  <c r="GJ129" i="8"/>
  <c r="AY130" i="8"/>
  <c r="EW97" i="8"/>
  <c r="ER98" i="8"/>
  <c r="AF131" i="8"/>
  <c r="BL131" i="8" s="1"/>
  <c r="BF130" i="8"/>
  <c r="AZ130" i="8"/>
  <c r="BE130" i="8"/>
  <c r="FS93" i="8" l="1"/>
  <c r="FU93" i="8" s="1"/>
  <c r="BS130" i="8"/>
  <c r="AT130" i="8"/>
  <c r="BP130" i="8"/>
  <c r="BQ130" i="8" s="1"/>
  <c r="BO130" i="8"/>
  <c r="BT130" i="8"/>
  <c r="BY130" i="8" s="1"/>
  <c r="BN131" i="8"/>
  <c r="AE132" i="8"/>
  <c r="BM131" i="8"/>
  <c r="BS131" i="8" s="1"/>
  <c r="D154" i="11"/>
  <c r="C155" i="11"/>
  <c r="AG131" i="8"/>
  <c r="BZ131" i="8" s="1"/>
  <c r="ED91" i="8"/>
  <c r="EB91" i="8"/>
  <c r="DS92" i="8" s="1"/>
  <c r="GA94" i="8"/>
  <c r="GB94" i="8" s="1"/>
  <c r="FY93" i="8"/>
  <c r="FV93" i="8"/>
  <c r="DP130" i="8"/>
  <c r="FK130" i="8"/>
  <c r="GJ130" i="8"/>
  <c r="AY131" i="8"/>
  <c r="EP99" i="8"/>
  <c r="ES98" i="8"/>
  <c r="AZ131" i="8"/>
  <c r="AF132" i="8"/>
  <c r="BL132" i="8" s="1"/>
  <c r="BF131" i="8"/>
  <c r="BE131" i="8"/>
  <c r="FT93" i="8" l="1"/>
  <c r="BR131" i="8"/>
  <c r="BT131" i="8"/>
  <c r="BY131" i="8" s="1"/>
  <c r="AT131" i="8"/>
  <c r="BP131" i="8"/>
  <c r="BQ131" i="8" s="1"/>
  <c r="BO131" i="8"/>
  <c r="BN132" i="8"/>
  <c r="AE133" i="8"/>
  <c r="BM132" i="8"/>
  <c r="BS132" i="8" s="1"/>
  <c r="D155" i="11"/>
  <c r="C156" i="11"/>
  <c r="AG132" i="8"/>
  <c r="BZ132" i="8" s="1"/>
  <c r="DT92" i="8"/>
  <c r="DQ92" i="8"/>
  <c r="EF92" i="8"/>
  <c r="EG92" i="8" s="1"/>
  <c r="FW93" i="8"/>
  <c r="FN94" i="8" s="1"/>
  <c r="DP131" i="8"/>
  <c r="FK131" i="8"/>
  <c r="GJ131" i="8"/>
  <c r="AY132" i="8"/>
  <c r="ET98" i="8"/>
  <c r="EU98" i="8" s="1"/>
  <c r="AF133" i="8"/>
  <c r="BL133" i="8" s="1"/>
  <c r="AZ132" i="8"/>
  <c r="BF132" i="8"/>
  <c r="BE132" i="8"/>
  <c r="BR132" i="8" l="1"/>
  <c r="BT132" i="8"/>
  <c r="BY132" i="8" s="1"/>
  <c r="AT132" i="8"/>
  <c r="BP132" i="8"/>
  <c r="BQ132" i="8" s="1"/>
  <c r="BO132" i="8"/>
  <c r="BQ88" i="8"/>
  <c r="BT89" i="8" s="1"/>
  <c r="BN133" i="8"/>
  <c r="AE134" i="8"/>
  <c r="BM133" i="8"/>
  <c r="BS133" i="8" s="1"/>
  <c r="C157" i="11"/>
  <c r="D156" i="11"/>
  <c r="AG133" i="8"/>
  <c r="BZ133" i="8" s="1"/>
  <c r="DU92" i="8"/>
  <c r="DV92" i="8" s="1"/>
  <c r="EE92" i="8"/>
  <c r="DW92" i="8"/>
  <c r="GC94" i="8"/>
  <c r="GD94" i="8" s="1"/>
  <c r="FL94" i="8"/>
  <c r="FO94" i="8"/>
  <c r="FX94" i="8"/>
  <c r="DP132" i="8"/>
  <c r="FK132" i="8"/>
  <c r="GJ132" i="8"/>
  <c r="AY133" i="8"/>
  <c r="EV98" i="8"/>
  <c r="EQ99" i="8" s="1"/>
  <c r="EW98" i="8"/>
  <c r="AZ133" i="8"/>
  <c r="BE133" i="8"/>
  <c r="AF134" i="8"/>
  <c r="BL134" i="8" s="1"/>
  <c r="BF133" i="8"/>
  <c r="BT121" i="8" l="1"/>
  <c r="BT91" i="8"/>
  <c r="BR133" i="8"/>
  <c r="BT115" i="8"/>
  <c r="BT133" i="8"/>
  <c r="BY133" i="8" s="1"/>
  <c r="AT133" i="8"/>
  <c r="BP133" i="8"/>
  <c r="BQ133" i="8" s="1"/>
  <c r="BO133" i="8"/>
  <c r="BN134" i="8"/>
  <c r="AE135" i="8"/>
  <c r="BM134" i="8"/>
  <c r="BR134" i="8" s="1"/>
  <c r="C158" i="11"/>
  <c r="D157" i="11"/>
  <c r="AG134" i="8"/>
  <c r="BZ134" i="8" s="1"/>
  <c r="DX92" i="8"/>
  <c r="DR93" i="8"/>
  <c r="EA92" i="8"/>
  <c r="FP94" i="8"/>
  <c r="FR94" i="8"/>
  <c r="FM95" i="8" s="1"/>
  <c r="FZ94" i="8"/>
  <c r="DP133" i="8"/>
  <c r="FK133" i="8"/>
  <c r="GJ133" i="8"/>
  <c r="AY134" i="8"/>
  <c r="EO99" i="8"/>
  <c r="ER99" i="8"/>
  <c r="BF134" i="8"/>
  <c r="BE134" i="8"/>
  <c r="AF135" i="8"/>
  <c r="BL135" i="8" s="1"/>
  <c r="AZ134" i="8"/>
  <c r="BS134" i="8" l="1"/>
  <c r="BT134" i="8"/>
  <c r="BY134" i="8" s="1"/>
  <c r="AT134" i="8"/>
  <c r="BP134" i="8"/>
  <c r="BQ134" i="8" s="1"/>
  <c r="BO134" i="8"/>
  <c r="BN135" i="8"/>
  <c r="AE136" i="8"/>
  <c r="BM135" i="8"/>
  <c r="BR135" i="8" s="1"/>
  <c r="D158" i="11"/>
  <c r="C159" i="11"/>
  <c r="AG135" i="8"/>
  <c r="BZ135" i="8" s="1"/>
  <c r="DY92" i="8"/>
  <c r="DZ92" i="8"/>
  <c r="GA95" i="8"/>
  <c r="GB95" i="8" s="1"/>
  <c r="FY94" i="8"/>
  <c r="FV94" i="8"/>
  <c r="FQ94" i="8"/>
  <c r="FS94" i="8" s="1"/>
  <c r="DP134" i="8"/>
  <c r="FK134" i="8"/>
  <c r="GJ134" i="8"/>
  <c r="AY135" i="8"/>
  <c r="ES99" i="8"/>
  <c r="ET99" i="8" s="1"/>
  <c r="EU99" i="8" s="1"/>
  <c r="EP100" i="8"/>
  <c r="AZ135" i="8"/>
  <c r="BE135" i="8"/>
  <c r="AF136" i="8"/>
  <c r="BL136" i="8" s="1"/>
  <c r="BF135" i="8"/>
  <c r="AN86" i="8" l="1"/>
  <c r="BS135" i="8"/>
  <c r="BT135" i="8"/>
  <c r="BY135" i="8" s="1"/>
  <c r="AT135" i="8"/>
  <c r="BP135" i="8"/>
  <c r="BQ135" i="8" s="1"/>
  <c r="BO135" i="8"/>
  <c r="BN136" i="8"/>
  <c r="AE137" i="8"/>
  <c r="BM136" i="8"/>
  <c r="BR136" i="8" s="1"/>
  <c r="D159" i="11"/>
  <c r="C160" i="11"/>
  <c r="AG136" i="8"/>
  <c r="BZ136" i="8" s="1"/>
  <c r="EB92" i="8"/>
  <c r="DS93" i="8" s="1"/>
  <c r="ED92" i="8"/>
  <c r="FU94" i="8"/>
  <c r="FW94" i="8" s="1"/>
  <c r="FN95" i="8" s="1"/>
  <c r="FT94" i="8"/>
  <c r="DP135" i="8"/>
  <c r="FK135" i="8"/>
  <c r="GJ135" i="8"/>
  <c r="AY136" i="8"/>
  <c r="EV99" i="8"/>
  <c r="EQ100" i="8" s="1"/>
  <c r="EO100" i="8" s="1"/>
  <c r="EW99" i="8"/>
  <c r="AF137" i="8"/>
  <c r="BL137" i="8" s="1"/>
  <c r="AZ136" i="8"/>
  <c r="BF136" i="8"/>
  <c r="BE136" i="8"/>
  <c r="BS136" i="8" l="1"/>
  <c r="AT136" i="8"/>
  <c r="BP136" i="8"/>
  <c r="BQ136" i="8" s="1"/>
  <c r="BO136" i="8"/>
  <c r="BT136" i="8"/>
  <c r="BY136" i="8" s="1"/>
  <c r="BN137" i="8"/>
  <c r="AE138" i="8"/>
  <c r="BM137" i="8"/>
  <c r="BR137" i="8" s="1"/>
  <c r="D160" i="11"/>
  <c r="C161" i="11"/>
  <c r="AG137" i="8"/>
  <c r="BZ137" i="8" s="1"/>
  <c r="DT93" i="8"/>
  <c r="DQ93" i="8"/>
  <c r="EF93" i="8"/>
  <c r="EG93" i="8" s="1"/>
  <c r="FO95" i="8"/>
  <c r="GC95" i="8"/>
  <c r="GD95" i="8" s="1"/>
  <c r="FL95" i="8"/>
  <c r="FX95" i="8"/>
  <c r="DP136" i="8"/>
  <c r="FK136" i="8"/>
  <c r="GJ136" i="8"/>
  <c r="AY137" i="8"/>
  <c r="ER100" i="8"/>
  <c r="BF137" i="8"/>
  <c r="AF138" i="8"/>
  <c r="BL138" i="8" s="1"/>
  <c r="AZ137" i="8"/>
  <c r="BE137" i="8"/>
  <c r="BS137" i="8" l="1"/>
  <c r="AT137" i="8"/>
  <c r="BP137" i="8"/>
  <c r="BQ137" i="8" s="1"/>
  <c r="BO137" i="8"/>
  <c r="BT137" i="8"/>
  <c r="BY137" i="8" s="1"/>
  <c r="BN138" i="8"/>
  <c r="AE139" i="8"/>
  <c r="BM138" i="8"/>
  <c r="BR138" i="8" s="1"/>
  <c r="D161" i="11"/>
  <c r="C162" i="11"/>
  <c r="AG138" i="8"/>
  <c r="BZ138" i="8" s="1"/>
  <c r="EE93" i="8"/>
  <c r="DU93" i="8"/>
  <c r="DV93" i="8" s="1"/>
  <c r="DW93" i="8"/>
  <c r="FZ95" i="8"/>
  <c r="FR95" i="8"/>
  <c r="FM96" i="8" s="1"/>
  <c r="FP95" i="8"/>
  <c r="FQ95" i="8" s="1"/>
  <c r="DP137" i="8"/>
  <c r="FK137" i="8"/>
  <c r="GJ137" i="8"/>
  <c r="AY138" i="8"/>
  <c r="ES100" i="8"/>
  <c r="ET100" i="8" s="1"/>
  <c r="EU100" i="8" s="1"/>
  <c r="EP101" i="8"/>
  <c r="BF138" i="8"/>
  <c r="AZ138" i="8"/>
  <c r="AF139" i="8"/>
  <c r="BL139" i="8" s="1"/>
  <c r="BE138" i="8"/>
  <c r="BD86" i="8" l="1"/>
  <c r="AW87" i="8"/>
  <c r="AX86" i="8"/>
  <c r="BS138" i="8"/>
  <c r="BT138" i="8"/>
  <c r="BY138" i="8" s="1"/>
  <c r="AT138" i="8"/>
  <c r="BP138" i="8"/>
  <c r="BQ138" i="8" s="1"/>
  <c r="BO138" i="8"/>
  <c r="FS95" i="8"/>
  <c r="FU95" i="8" s="1"/>
  <c r="BN139" i="8"/>
  <c r="AE140" i="8"/>
  <c r="BM139" i="8"/>
  <c r="BR139" i="8" s="1"/>
  <c r="C163" i="11"/>
  <c r="D162" i="11"/>
  <c r="AG139" i="8"/>
  <c r="BZ139" i="8" s="1"/>
  <c r="DX93" i="8"/>
  <c r="EA93" i="8"/>
  <c r="DR94" i="8"/>
  <c r="FV95" i="8"/>
  <c r="GA96" i="8"/>
  <c r="GB96" i="8" s="1"/>
  <c r="FY95" i="8"/>
  <c r="DP138" i="8"/>
  <c r="FK138" i="8"/>
  <c r="GJ138" i="8"/>
  <c r="AY139" i="8"/>
  <c r="EV100" i="8"/>
  <c r="EQ101" i="8" s="1"/>
  <c r="EO101" i="8" s="1"/>
  <c r="EW100" i="8"/>
  <c r="AZ139" i="8"/>
  <c r="BF139" i="8"/>
  <c r="BE139" i="8"/>
  <c r="AF140" i="8"/>
  <c r="BL140" i="8" s="1"/>
  <c r="FT95" i="8" l="1"/>
  <c r="BS139" i="8"/>
  <c r="BT139" i="8"/>
  <c r="BY139" i="8" s="1"/>
  <c r="AT139" i="8"/>
  <c r="BP139" i="8"/>
  <c r="BQ139" i="8" s="1"/>
  <c r="BO139" i="8"/>
  <c r="BN140" i="8"/>
  <c r="AE141" i="8"/>
  <c r="BM140" i="8"/>
  <c r="BR140" i="8" s="1"/>
  <c r="C164" i="11"/>
  <c r="D163" i="11"/>
  <c r="ER101" i="8"/>
  <c r="AG140" i="8"/>
  <c r="BZ140" i="8" s="1"/>
  <c r="DY93" i="8"/>
  <c r="DZ93" i="8"/>
  <c r="FW95" i="8"/>
  <c r="FN96" i="8" s="1"/>
  <c r="FX96" i="8" s="1"/>
  <c r="DP139" i="8"/>
  <c r="FK139" i="8"/>
  <c r="GJ139" i="8"/>
  <c r="AY140" i="8"/>
  <c r="AZ140" i="8"/>
  <c r="BF140" i="8"/>
  <c r="BE140" i="8"/>
  <c r="AF141" i="8"/>
  <c r="BL141" i="8" s="1"/>
  <c r="BS140" i="8" l="1"/>
  <c r="BT140" i="8"/>
  <c r="BY140" i="8" s="1"/>
  <c r="AT140" i="8"/>
  <c r="BP140" i="8"/>
  <c r="BQ140" i="8" s="1"/>
  <c r="BO140" i="8"/>
  <c r="BN141" i="8"/>
  <c r="AE142" i="8"/>
  <c r="BM141" i="8"/>
  <c r="BS141" i="8" s="1"/>
  <c r="D164" i="11"/>
  <c r="C165" i="11"/>
  <c r="AG141" i="8"/>
  <c r="BZ141" i="8" s="1"/>
  <c r="EB93" i="8"/>
  <c r="DS94" i="8" s="1"/>
  <c r="ED93" i="8"/>
  <c r="GC96" i="8"/>
  <c r="GD96" i="8" s="1"/>
  <c r="FL96" i="8"/>
  <c r="FO96" i="8"/>
  <c r="DP140" i="8"/>
  <c r="FK140" i="8"/>
  <c r="GJ140" i="8"/>
  <c r="AY141" i="8"/>
  <c r="EP102" i="8"/>
  <c r="ES101" i="8"/>
  <c r="ET101" i="8" s="1"/>
  <c r="EU101" i="8" s="1"/>
  <c r="BE141" i="8"/>
  <c r="AZ141" i="8"/>
  <c r="AF142" i="8"/>
  <c r="BL142" i="8" s="1"/>
  <c r="BF141" i="8"/>
  <c r="BR141" i="8" l="1"/>
  <c r="BT141" i="8"/>
  <c r="BY141" i="8" s="1"/>
  <c r="AT141" i="8"/>
  <c r="BP141" i="8"/>
  <c r="BQ141" i="8" s="1"/>
  <c r="BO141" i="8"/>
  <c r="BQ89" i="8"/>
  <c r="BN142" i="8"/>
  <c r="AE143" i="8"/>
  <c r="BM142" i="8"/>
  <c r="BS142" i="8" s="1"/>
  <c r="C166" i="11"/>
  <c r="D165" i="11"/>
  <c r="AG142" i="8"/>
  <c r="BZ142" i="8" s="1"/>
  <c r="EF94" i="8"/>
  <c r="EG94" i="8" s="1"/>
  <c r="DT94" i="8"/>
  <c r="DQ94" i="8"/>
  <c r="FZ96" i="8"/>
  <c r="FP96" i="8"/>
  <c r="FR96" i="8"/>
  <c r="FM97" i="8" s="1"/>
  <c r="DP141" i="8"/>
  <c r="FK141" i="8"/>
  <c r="GJ141" i="8"/>
  <c r="AY142" i="8"/>
  <c r="EV101" i="8"/>
  <c r="EQ102" i="8" s="1"/>
  <c r="EO102" i="8" s="1"/>
  <c r="EW101" i="8"/>
  <c r="AZ142" i="8"/>
  <c r="BE142" i="8"/>
  <c r="BF142" i="8"/>
  <c r="AF143" i="8"/>
  <c r="BL143" i="8" s="1"/>
  <c r="BT120" i="8" l="1"/>
  <c r="BT90" i="8"/>
  <c r="BR142" i="8"/>
  <c r="BT114" i="8"/>
  <c r="BT142" i="8"/>
  <c r="BY142" i="8" s="1"/>
  <c r="AT142" i="8"/>
  <c r="BP142" i="8"/>
  <c r="BQ142" i="8" s="1"/>
  <c r="BO142" i="8"/>
  <c r="BN143" i="8"/>
  <c r="AE144" i="8"/>
  <c r="BM143" i="8"/>
  <c r="BS143" i="8" s="1"/>
  <c r="D166" i="11"/>
  <c r="C167" i="11"/>
  <c r="AG143" i="8"/>
  <c r="BZ143" i="8" s="1"/>
  <c r="EE94" i="8"/>
  <c r="DW94" i="8"/>
  <c r="DU94" i="8"/>
  <c r="DV94" i="8" s="1"/>
  <c r="GA97" i="8"/>
  <c r="GB97" i="8" s="1"/>
  <c r="FV96" i="8"/>
  <c r="FY96" i="8"/>
  <c r="FQ96" i="8"/>
  <c r="FS96" i="8" s="1"/>
  <c r="ER102" i="8"/>
  <c r="ES102" i="8" s="1"/>
  <c r="ET102" i="8" s="1"/>
  <c r="EU102" i="8" s="1"/>
  <c r="EV102" i="8" s="1"/>
  <c r="EQ103" i="8" s="1"/>
  <c r="EO103" i="8" s="1"/>
  <c r="DP142" i="8"/>
  <c r="FK142" i="8"/>
  <c r="GJ142" i="8"/>
  <c r="AY143" i="8"/>
  <c r="AF144" i="8"/>
  <c r="BL144" i="8" s="1"/>
  <c r="BF143" i="8"/>
  <c r="AZ143" i="8"/>
  <c r="BE143" i="8"/>
  <c r="BR143" i="8" l="1"/>
  <c r="BT143" i="8"/>
  <c r="BY143" i="8" s="1"/>
  <c r="AT143" i="8"/>
  <c r="BP143" i="8"/>
  <c r="BQ143" i="8" s="1"/>
  <c r="BO143" i="8"/>
  <c r="BN144" i="8"/>
  <c r="DX94" i="8"/>
  <c r="DZ94" i="8" s="1"/>
  <c r="AE145" i="8"/>
  <c r="BM144" i="8"/>
  <c r="BS144" i="8" s="1"/>
  <c r="D167" i="11"/>
  <c r="C168" i="11"/>
  <c r="AG144" i="8"/>
  <c r="BZ144" i="8" s="1"/>
  <c r="DR95" i="8"/>
  <c r="EA94" i="8"/>
  <c r="FT96" i="8"/>
  <c r="FU96" i="8"/>
  <c r="FW96" i="8" s="1"/>
  <c r="FN97" i="8" s="1"/>
  <c r="EP103" i="8"/>
  <c r="ER103" i="8" s="1"/>
  <c r="DP143" i="8"/>
  <c r="FK143" i="8"/>
  <c r="GJ143" i="8"/>
  <c r="AY144" i="8"/>
  <c r="EW102" i="8"/>
  <c r="AF145" i="8"/>
  <c r="BL145" i="8" s="1"/>
  <c r="AZ144" i="8"/>
  <c r="BE144" i="8"/>
  <c r="BF144" i="8"/>
  <c r="BR144" i="8" l="1"/>
  <c r="BT144" i="8"/>
  <c r="BY144" i="8" s="1"/>
  <c r="AT144" i="8"/>
  <c r="BP144" i="8"/>
  <c r="BQ144" i="8" s="1"/>
  <c r="BO144" i="8"/>
  <c r="DY94" i="8"/>
  <c r="BN145" i="8"/>
  <c r="ED94" i="8"/>
  <c r="AE146" i="8"/>
  <c r="BM145" i="8"/>
  <c r="BS145" i="8" s="1"/>
  <c r="C169" i="11"/>
  <c r="D168" i="11"/>
  <c r="AG145" i="8"/>
  <c r="BZ145" i="8" s="1"/>
  <c r="EB94" i="8"/>
  <c r="DS95" i="8" s="1"/>
  <c r="DT95" i="8" s="1"/>
  <c r="GC97" i="8"/>
  <c r="GD97" i="8" s="1"/>
  <c r="FL97" i="8"/>
  <c r="FO97" i="8"/>
  <c r="FX97" i="8"/>
  <c r="ES103" i="8"/>
  <c r="ET103" i="8" s="1"/>
  <c r="EU103" i="8" s="1"/>
  <c r="EV103" i="8" s="1"/>
  <c r="EQ104" i="8" s="1"/>
  <c r="EO104" i="8" s="1"/>
  <c r="EP104" i="8"/>
  <c r="DP144" i="8"/>
  <c r="FK144" i="8"/>
  <c r="GJ144" i="8"/>
  <c r="AY145" i="8"/>
  <c r="AZ145" i="8"/>
  <c r="BE145" i="8"/>
  <c r="AF146" i="8"/>
  <c r="BL146" i="8" s="1"/>
  <c r="BF145" i="8"/>
  <c r="BR145" i="8" l="1"/>
  <c r="AT145" i="8"/>
  <c r="BP145" i="8"/>
  <c r="BQ145" i="8" s="1"/>
  <c r="BO145" i="8"/>
  <c r="BT145" i="8"/>
  <c r="BY145" i="8" s="1"/>
  <c r="BN146" i="8"/>
  <c r="AE147" i="8"/>
  <c r="BM146" i="8"/>
  <c r="BS146" i="8" s="1"/>
  <c r="D169" i="11"/>
  <c r="C170" i="11"/>
  <c r="AG146" i="8"/>
  <c r="BZ146" i="8" s="1"/>
  <c r="DQ95" i="8"/>
  <c r="EF95" i="8"/>
  <c r="EG95" i="8" s="1"/>
  <c r="ER104" i="8"/>
  <c r="EP105" i="8" s="1"/>
  <c r="EW103" i="8"/>
  <c r="FR97" i="8"/>
  <c r="FM98" i="8" s="1"/>
  <c r="FP97" i="8"/>
  <c r="FZ97" i="8"/>
  <c r="DP145" i="8"/>
  <c r="FK145" i="8"/>
  <c r="GJ145" i="8"/>
  <c r="AY146" i="8"/>
  <c r="EE95" i="8"/>
  <c r="DU95" i="8"/>
  <c r="DW95" i="8"/>
  <c r="DR96" i="8" s="1"/>
  <c r="AF147" i="8"/>
  <c r="BL147" i="8" s="1"/>
  <c r="AZ146" i="8"/>
  <c r="BF146" i="8"/>
  <c r="BE146" i="8"/>
  <c r="BR146" i="8" l="1"/>
  <c r="BT146" i="8"/>
  <c r="BY146" i="8" s="1"/>
  <c r="AT146" i="8"/>
  <c r="BP146" i="8"/>
  <c r="BQ146" i="8" s="1"/>
  <c r="BO146" i="8"/>
  <c r="BN147" i="8"/>
  <c r="AE148" i="8"/>
  <c r="BM147" i="8"/>
  <c r="BS147" i="8" s="1"/>
  <c r="D170" i="11"/>
  <c r="C171" i="11"/>
  <c r="AG147" i="8"/>
  <c r="BZ147" i="8" s="1"/>
  <c r="ES104" i="8"/>
  <c r="ET104" i="8" s="1"/>
  <c r="EU104" i="8" s="1"/>
  <c r="EV104" i="8" s="1"/>
  <c r="EQ105" i="8" s="1"/>
  <c r="EO105" i="8" s="1"/>
  <c r="FQ97" i="8"/>
  <c r="FS97" i="8" s="1"/>
  <c r="GA98" i="8"/>
  <c r="GB98" i="8" s="1"/>
  <c r="FV97" i="8"/>
  <c r="FY97" i="8"/>
  <c r="DP146" i="8"/>
  <c r="FK146" i="8"/>
  <c r="GJ146" i="8"/>
  <c r="AY147" i="8"/>
  <c r="EA95" i="8"/>
  <c r="DV95" i="8"/>
  <c r="DX95" i="8" s="1"/>
  <c r="AZ147" i="8"/>
  <c r="BF147" i="8"/>
  <c r="AF148" i="8"/>
  <c r="BL148" i="8" s="1"/>
  <c r="BE147" i="8"/>
  <c r="BR147" i="8" l="1"/>
  <c r="BT147" i="8"/>
  <c r="BY147" i="8" s="1"/>
  <c r="AT147" i="8"/>
  <c r="BP147" i="8"/>
  <c r="BQ147" i="8" s="1"/>
  <c r="BO147" i="8"/>
  <c r="BN148" i="8"/>
  <c r="AE149" i="8"/>
  <c r="BM148" i="8"/>
  <c r="BR148" i="8" s="1"/>
  <c r="D171" i="11"/>
  <c r="C172" i="11"/>
  <c r="AG148" i="8"/>
  <c r="BZ148" i="8" s="1"/>
  <c r="EW104" i="8"/>
  <c r="ER105" i="8"/>
  <c r="ES105" i="8" s="1"/>
  <c r="ET105" i="8" s="1"/>
  <c r="EU105" i="8" s="1"/>
  <c r="EV105" i="8" s="1"/>
  <c r="EQ106" i="8" s="1"/>
  <c r="EO106" i="8" s="1"/>
  <c r="FU97" i="8"/>
  <c r="FW97" i="8" s="1"/>
  <c r="FN98" i="8" s="1"/>
  <c r="FT97" i="8"/>
  <c r="DP147" i="8"/>
  <c r="FK147" i="8"/>
  <c r="GJ147" i="8"/>
  <c r="AY148" i="8"/>
  <c r="DZ95" i="8"/>
  <c r="ED95" i="8" s="1"/>
  <c r="DY95" i="8"/>
  <c r="BE148" i="8"/>
  <c r="BF148" i="8"/>
  <c r="AF149" i="8"/>
  <c r="BL149" i="8" s="1"/>
  <c r="AZ148" i="8"/>
  <c r="BS148" i="8" l="1"/>
  <c r="BT148" i="8"/>
  <c r="BY148" i="8" s="1"/>
  <c r="AT148" i="8"/>
  <c r="BP148" i="8"/>
  <c r="BQ148" i="8" s="1"/>
  <c r="BO148" i="8"/>
  <c r="BN149" i="8"/>
  <c r="AE150" i="8"/>
  <c r="BM149" i="8"/>
  <c r="BS149" i="8" s="1"/>
  <c r="D172" i="11"/>
  <c r="C173" i="11"/>
  <c r="AG149" i="8"/>
  <c r="BZ149" i="8" s="1"/>
  <c r="EP106" i="8"/>
  <c r="ER106" i="8" s="1"/>
  <c r="EB95" i="8"/>
  <c r="DS96" i="8" s="1"/>
  <c r="EF96" i="8" s="1"/>
  <c r="EG96" i="8" s="1"/>
  <c r="GC98" i="8"/>
  <c r="GD98" i="8" s="1"/>
  <c r="FL98" i="8"/>
  <c r="FO98" i="8"/>
  <c r="FX98" i="8"/>
  <c r="DP148" i="8"/>
  <c r="FK148" i="8"/>
  <c r="GJ148" i="8"/>
  <c r="AY149" i="8"/>
  <c r="EW105" i="8"/>
  <c r="BE149" i="8"/>
  <c r="AF150" i="8"/>
  <c r="BL150" i="8" s="1"/>
  <c r="BF149" i="8"/>
  <c r="AZ149" i="8"/>
  <c r="BR149" i="8" l="1"/>
  <c r="BT149" i="8"/>
  <c r="BY149" i="8" s="1"/>
  <c r="AT149" i="8"/>
  <c r="BP149" i="8"/>
  <c r="BQ149" i="8" s="1"/>
  <c r="BO149" i="8"/>
  <c r="BQ90" i="8"/>
  <c r="BT93" i="8" s="1"/>
  <c r="BN150" i="8"/>
  <c r="AE151" i="8"/>
  <c r="BM150" i="8"/>
  <c r="BS150" i="8" s="1"/>
  <c r="D173" i="11"/>
  <c r="C174" i="11"/>
  <c r="AG150" i="8"/>
  <c r="BZ150" i="8" s="1"/>
  <c r="DT96" i="8"/>
  <c r="DW96" i="8" s="1"/>
  <c r="DR97" i="8" s="1"/>
  <c r="DQ96" i="8"/>
  <c r="FP98" i="8"/>
  <c r="FR98" i="8"/>
  <c r="FM99" i="8" s="1"/>
  <c r="FZ98" i="8"/>
  <c r="DP149" i="8"/>
  <c r="FK149" i="8"/>
  <c r="GJ149" i="8"/>
  <c r="AY150" i="8"/>
  <c r="EP107" i="8"/>
  <c r="ES106" i="8"/>
  <c r="BE150" i="8"/>
  <c r="AF151" i="8"/>
  <c r="BL151" i="8" s="1"/>
  <c r="BF150" i="8"/>
  <c r="AZ150" i="8"/>
  <c r="BT119" i="8" l="1"/>
  <c r="BR150" i="8"/>
  <c r="BT113" i="8"/>
  <c r="BT150" i="8"/>
  <c r="BY150" i="8" s="1"/>
  <c r="AT150" i="8"/>
  <c r="BP150" i="8"/>
  <c r="BQ150" i="8" s="1"/>
  <c r="BO150" i="8"/>
  <c r="BN151" i="8"/>
  <c r="AE152" i="8"/>
  <c r="BM151" i="8"/>
  <c r="BR151" i="8" s="1"/>
  <c r="D174" i="11"/>
  <c r="C175" i="11"/>
  <c r="AG151" i="8"/>
  <c r="BZ151" i="8" s="1"/>
  <c r="EE96" i="8"/>
  <c r="DU96" i="8"/>
  <c r="DV96" i="8" s="1"/>
  <c r="DX96" i="8" s="1"/>
  <c r="GA99" i="8"/>
  <c r="GB99" i="8" s="1"/>
  <c r="FY98" i="8"/>
  <c r="FV98" i="8"/>
  <c r="FQ98" i="8"/>
  <c r="FS98" i="8" s="1"/>
  <c r="DP150" i="8"/>
  <c r="FK150" i="8"/>
  <c r="GJ150" i="8"/>
  <c r="AY151" i="8"/>
  <c r="EA96" i="8"/>
  <c r="ET106" i="8"/>
  <c r="EU106" i="8" s="1"/>
  <c r="AZ151" i="8"/>
  <c r="BF151" i="8"/>
  <c r="BE151" i="8"/>
  <c r="AF152" i="8"/>
  <c r="BL152" i="8" s="1"/>
  <c r="BS151" i="8" l="1"/>
  <c r="BT151" i="8"/>
  <c r="BY151" i="8" s="1"/>
  <c r="AT151" i="8"/>
  <c r="BP151" i="8"/>
  <c r="BQ151" i="8" s="1"/>
  <c r="BO151" i="8"/>
  <c r="BN152" i="8"/>
  <c r="AE153" i="8"/>
  <c r="BM152" i="8"/>
  <c r="BR152" i="8" s="1"/>
  <c r="C176" i="11"/>
  <c r="D175" i="11"/>
  <c r="AG152" i="8"/>
  <c r="BZ152" i="8" s="1"/>
  <c r="FU98" i="8"/>
  <c r="FW98" i="8" s="1"/>
  <c r="FN99" i="8" s="1"/>
  <c r="FT98" i="8"/>
  <c r="DP151" i="8"/>
  <c r="FK151" i="8"/>
  <c r="GJ151" i="8"/>
  <c r="AY152" i="8"/>
  <c r="DZ96" i="8"/>
  <c r="EB96" i="8" s="1"/>
  <c r="DS97" i="8" s="1"/>
  <c r="DY96" i="8"/>
  <c r="EV106" i="8"/>
  <c r="EQ107" i="8" s="1"/>
  <c r="EW106" i="8"/>
  <c r="BF152" i="8"/>
  <c r="BE152" i="8"/>
  <c r="AF153" i="8"/>
  <c r="BL153" i="8" s="1"/>
  <c r="AZ152" i="8"/>
  <c r="BS152" i="8" l="1"/>
  <c r="BT152" i="8"/>
  <c r="BY152" i="8" s="1"/>
  <c r="AT152" i="8"/>
  <c r="BP152" i="8"/>
  <c r="BQ152" i="8" s="1"/>
  <c r="BO152" i="8"/>
  <c r="BN153" i="8"/>
  <c r="AE154" i="8"/>
  <c r="BM153" i="8"/>
  <c r="BR153" i="8" s="1"/>
  <c r="D176" i="11"/>
  <c r="C177" i="11"/>
  <c r="AG153" i="8"/>
  <c r="BZ153" i="8" s="1"/>
  <c r="GC99" i="8"/>
  <c r="GD99" i="8" s="1"/>
  <c r="FL99" i="8"/>
  <c r="FO99" i="8"/>
  <c r="FX99" i="8"/>
  <c r="ED96" i="8"/>
  <c r="DP152" i="8"/>
  <c r="FK152" i="8"/>
  <c r="GJ152" i="8"/>
  <c r="AY153" i="8"/>
  <c r="EF97" i="8"/>
  <c r="EG97" i="8" s="1"/>
  <c r="DQ97" i="8"/>
  <c r="DT97" i="8"/>
  <c r="EO107" i="8"/>
  <c r="ER107" i="8"/>
  <c r="BF153" i="8"/>
  <c r="BE153" i="8"/>
  <c r="AZ153" i="8"/>
  <c r="AF154" i="8"/>
  <c r="BL154" i="8" s="1"/>
  <c r="BS153" i="8" l="1"/>
  <c r="BT153" i="8"/>
  <c r="BY153" i="8" s="1"/>
  <c r="AT153" i="8"/>
  <c r="BP153" i="8"/>
  <c r="BQ153" i="8" s="1"/>
  <c r="BO153" i="8"/>
  <c r="BN154" i="8"/>
  <c r="AE155" i="8"/>
  <c r="AE156" i="8" s="1"/>
  <c r="BM154" i="8"/>
  <c r="BR154" i="8" s="1"/>
  <c r="D177" i="11"/>
  <c r="C178" i="11"/>
  <c r="AG154" i="8"/>
  <c r="BZ154" i="8" s="1"/>
  <c r="FZ99" i="8"/>
  <c r="FP99" i="8"/>
  <c r="FR99" i="8"/>
  <c r="FM100" i="8" s="1"/>
  <c r="DP153" i="8"/>
  <c r="FK153" i="8"/>
  <c r="GJ153" i="8"/>
  <c r="AY154" i="8"/>
  <c r="DU97" i="8"/>
  <c r="DW97" i="8"/>
  <c r="DR98" i="8" s="1"/>
  <c r="EE97" i="8"/>
  <c r="ES107" i="8"/>
  <c r="ET107" i="8" s="1"/>
  <c r="EU107" i="8" s="1"/>
  <c r="EP108" i="8"/>
  <c r="BF154" i="8"/>
  <c r="BE154" i="8"/>
  <c r="AF155" i="8"/>
  <c r="AZ154" i="8"/>
  <c r="AE157" i="8" l="1"/>
  <c r="BM156" i="8"/>
  <c r="BL155" i="8"/>
  <c r="AF156" i="8"/>
  <c r="BS154" i="8"/>
  <c r="BT154" i="8"/>
  <c r="BY154" i="8" s="1"/>
  <c r="AT154" i="8"/>
  <c r="BP154" i="8"/>
  <c r="BQ154" i="8" s="1"/>
  <c r="BO154" i="8"/>
  <c r="BQ91" i="8"/>
  <c r="BT92" i="8" s="1"/>
  <c r="BN155" i="8"/>
  <c r="BM155" i="8"/>
  <c r="BR155" i="8" s="1"/>
  <c r="D178" i="11"/>
  <c r="C179" i="11"/>
  <c r="AG155" i="8"/>
  <c r="BZ155" i="8" s="1"/>
  <c r="GA100" i="8"/>
  <c r="GB100" i="8" s="1"/>
  <c r="FY99" i="8"/>
  <c r="FV99" i="8"/>
  <c r="FQ99" i="8"/>
  <c r="FS99" i="8" s="1"/>
  <c r="DP154" i="8"/>
  <c r="FK154" i="8"/>
  <c r="GJ154" i="8"/>
  <c r="AY155" i="8"/>
  <c r="EA97" i="8"/>
  <c r="DV97" i="8"/>
  <c r="DX97" i="8" s="1"/>
  <c r="EV107" i="8"/>
  <c r="EQ108" i="8" s="1"/>
  <c r="EO108" i="8" s="1"/>
  <c r="EW107" i="8"/>
  <c r="BF155" i="8"/>
  <c r="AZ155" i="8"/>
  <c r="BE155" i="8"/>
  <c r="BL156" i="8" l="1"/>
  <c r="BF156" i="8"/>
  <c r="AF157" i="8"/>
  <c r="BN156" i="8"/>
  <c r="BE156" i="8"/>
  <c r="AY156" i="8"/>
  <c r="AZ156" i="8"/>
  <c r="AG156" i="8"/>
  <c r="BS156" i="8"/>
  <c r="BT156" i="8"/>
  <c r="BY156" i="8" s="1"/>
  <c r="CB156" i="8" s="1"/>
  <c r="BR156" i="8"/>
  <c r="AE158" i="8"/>
  <c r="BM157" i="8"/>
  <c r="BT118" i="8"/>
  <c r="BS155" i="8"/>
  <c r="BT112" i="8"/>
  <c r="AT155" i="8"/>
  <c r="BP155" i="8"/>
  <c r="BQ155" i="8" s="1"/>
  <c r="BO155" i="8"/>
  <c r="BT155" i="8"/>
  <c r="BY155" i="8" s="1"/>
  <c r="D179" i="11"/>
  <c r="C180" i="11"/>
  <c r="FU99" i="8"/>
  <c r="FW99" i="8" s="1"/>
  <c r="FN100" i="8" s="1"/>
  <c r="FX100" i="8" s="1"/>
  <c r="FT99" i="8"/>
  <c r="DP155" i="8"/>
  <c r="FK155" i="8"/>
  <c r="GJ155" i="8"/>
  <c r="ER108" i="8"/>
  <c r="EP109" i="8" s="1"/>
  <c r="DZ97" i="8"/>
  <c r="EB97" i="8" s="1"/>
  <c r="DS98" i="8" s="1"/>
  <c r="DY97" i="8"/>
  <c r="AE159" i="8" l="1"/>
  <c r="BM158" i="8"/>
  <c r="AT156" i="8"/>
  <c r="BZ156" i="8"/>
  <c r="BO156" i="8"/>
  <c r="BP156" i="8"/>
  <c r="BQ156" i="8" s="1"/>
  <c r="BL157" i="8"/>
  <c r="BT157" i="8" s="1"/>
  <c r="AG157" i="8"/>
  <c r="AF158" i="8"/>
  <c r="AY157" i="8"/>
  <c r="AZ157" i="8"/>
  <c r="BE157" i="8"/>
  <c r="BF157" i="8"/>
  <c r="BN157" i="8"/>
  <c r="CG66" i="8" a="1"/>
  <c r="CG66" i="8" s="1"/>
  <c r="D180" i="11"/>
  <c r="C181" i="11"/>
  <c r="GC100" i="8"/>
  <c r="GD100" i="8" s="1"/>
  <c r="FL100" i="8"/>
  <c r="FO100" i="8"/>
  <c r="ED97" i="8"/>
  <c r="DP156" i="8"/>
  <c r="FK156" i="8"/>
  <c r="GJ156" i="8"/>
  <c r="ES108" i="8"/>
  <c r="ET108" i="8" s="1"/>
  <c r="EU108" i="8" s="1"/>
  <c r="EV108" i="8" s="1"/>
  <c r="EQ109" i="8" s="1"/>
  <c r="EO109" i="8" s="1"/>
  <c r="EF98" i="8"/>
  <c r="EG98" i="8" s="1"/>
  <c r="DQ98" i="8"/>
  <c r="DT98" i="8"/>
  <c r="BX82" i="8" l="1"/>
  <c r="BY157" i="8"/>
  <c r="CB157" i="8" s="1"/>
  <c r="AT157" i="8"/>
  <c r="BR157" i="8"/>
  <c r="BL158" i="8"/>
  <c r="BR158" i="8" s="1"/>
  <c r="AG158" i="8"/>
  <c r="AF159" i="8"/>
  <c r="BN158" i="8"/>
  <c r="AY158" i="8"/>
  <c r="AZ158" i="8"/>
  <c r="BE158" i="8"/>
  <c r="BF158" i="8"/>
  <c r="BS157" i="8"/>
  <c r="BP157" i="8"/>
  <c r="BQ157" i="8" s="1"/>
  <c r="BO157" i="8"/>
  <c r="BZ157" i="8"/>
  <c r="BM159" i="8"/>
  <c r="AE160" i="8"/>
  <c r="BS105" i="8"/>
  <c r="BS107" i="8"/>
  <c r="BS106" i="8"/>
  <c r="C182" i="11"/>
  <c r="D181" i="11"/>
  <c r="FP100" i="8"/>
  <c r="FZ100" i="8"/>
  <c r="FR100" i="8"/>
  <c r="FM101" i="8" s="1"/>
  <c r="EW108" i="8"/>
  <c r="ER109" i="8"/>
  <c r="EP110" i="8" s="1"/>
  <c r="DU98" i="8"/>
  <c r="EE98" i="8"/>
  <c r="DW98" i="8"/>
  <c r="DR99" i="8" s="1"/>
  <c r="BT158" i="8" l="1"/>
  <c r="BY158" i="8" s="1"/>
  <c r="CB158" i="8" s="1"/>
  <c r="BS158" i="8"/>
  <c r="CD82" i="8"/>
  <c r="CE82" i="8" s="1"/>
  <c r="CF82" i="8" s="1"/>
  <c r="CG82" i="8" s="1"/>
  <c r="CH82" i="8" s="1"/>
  <c r="CO82" i="8" s="1"/>
  <c r="BL159" i="8"/>
  <c r="BT159" i="8" s="1"/>
  <c r="BN159" i="8"/>
  <c r="BF159" i="8"/>
  <c r="AG159" i="8"/>
  <c r="AY159" i="8"/>
  <c r="AF160" i="8"/>
  <c r="AZ159" i="8"/>
  <c r="BE159" i="8"/>
  <c r="BP158" i="8"/>
  <c r="BQ158" i="8" s="1"/>
  <c r="BO158" i="8"/>
  <c r="BZ158" i="8"/>
  <c r="BM160" i="8"/>
  <c r="AE161" i="8"/>
  <c r="AT158" i="8"/>
  <c r="ES109" i="8"/>
  <c r="ET109" i="8" s="1"/>
  <c r="EU109" i="8" s="1"/>
  <c r="EV109" i="8" s="1"/>
  <c r="EQ110" i="8" s="1"/>
  <c r="EO110" i="8" s="1"/>
  <c r="D182" i="11"/>
  <c r="C183" i="11"/>
  <c r="GA101" i="8"/>
  <c r="GB101" i="8" s="1"/>
  <c r="FY100" i="8"/>
  <c r="FV100" i="8"/>
  <c r="FQ100" i="8"/>
  <c r="FS100" i="8" s="1"/>
  <c r="EA98" i="8"/>
  <c r="DV98" i="8"/>
  <c r="DX98" i="8" s="1"/>
  <c r="CP82" i="8" l="1"/>
  <c r="CS82" i="8"/>
  <c r="CR82" i="8"/>
  <c r="EW109" i="8"/>
  <c r="BR159" i="8"/>
  <c r="BS159" i="8"/>
  <c r="BP159" i="8"/>
  <c r="BQ159" i="8" s="1"/>
  <c r="BO159" i="8"/>
  <c r="BZ159" i="8"/>
  <c r="BY159" i="8"/>
  <c r="CB159" i="8" s="1"/>
  <c r="BM161" i="8"/>
  <c r="AE162" i="8"/>
  <c r="AZ160" i="8"/>
  <c r="BE160" i="8"/>
  <c r="BF160" i="8"/>
  <c r="BL160" i="8"/>
  <c r="BR160" i="8" s="1"/>
  <c r="BN160" i="8"/>
  <c r="AY160" i="8"/>
  <c r="AF161" i="8"/>
  <c r="AG160" i="8"/>
  <c r="AT159" i="8"/>
  <c r="ER110" i="8"/>
  <c r="EP111" i="8" s="1"/>
  <c r="BQ92" i="8"/>
  <c r="BT101" i="8" s="1"/>
  <c r="D183" i="11"/>
  <c r="C184" i="11"/>
  <c r="D184" i="11" s="1"/>
  <c r="FU100" i="8"/>
  <c r="FW100" i="8" s="1"/>
  <c r="FN101" i="8" s="1"/>
  <c r="FT100" i="8"/>
  <c r="DZ98" i="8"/>
  <c r="EB98" i="8" s="1"/>
  <c r="DS99" i="8" s="1"/>
  <c r="DY98" i="8"/>
  <c r="CQ82" i="8" l="1"/>
  <c r="CT82" i="8" s="1"/>
  <c r="BC82" i="8" s="1"/>
  <c r="BH82" i="8" s="1"/>
  <c r="BJ82" i="8" s="1"/>
  <c r="BA83" i="8"/>
  <c r="BB83" i="8"/>
  <c r="ES110" i="8"/>
  <c r="ET110" i="8" s="1"/>
  <c r="EU110" i="8" s="1"/>
  <c r="EV110" i="8" s="1"/>
  <c r="EQ111" i="8" s="1"/>
  <c r="EO111" i="8" s="1"/>
  <c r="AT160" i="8"/>
  <c r="BT160" i="8"/>
  <c r="BY160" i="8" s="1"/>
  <c r="CB160" i="8" s="1"/>
  <c r="AZ161" i="8"/>
  <c r="BE161" i="8"/>
  <c r="BF161" i="8"/>
  <c r="BL161" i="8"/>
  <c r="BR161" i="8" s="1"/>
  <c r="BN161" i="8"/>
  <c r="AF162" i="8"/>
  <c r="AG161" i="8"/>
  <c r="AY161" i="8"/>
  <c r="BM162" i="8"/>
  <c r="AE163" i="8"/>
  <c r="BS160" i="8"/>
  <c r="BO160" i="8"/>
  <c r="BP160" i="8"/>
  <c r="BQ160" i="8" s="1"/>
  <c r="BZ160" i="8"/>
  <c r="BT97" i="8"/>
  <c r="BT103" i="8"/>
  <c r="BT117" i="8"/>
  <c r="BT107" i="8"/>
  <c r="BT109" i="8"/>
  <c r="BT99" i="8"/>
  <c r="BT105" i="8"/>
  <c r="BT95" i="8"/>
  <c r="BT111" i="8"/>
  <c r="FO101" i="8"/>
  <c r="GC101" i="8"/>
  <c r="GD101" i="8" s="1"/>
  <c r="FL101" i="8"/>
  <c r="FX101" i="8"/>
  <c r="ED98" i="8"/>
  <c r="EF99" i="8"/>
  <c r="EG99" i="8" s="1"/>
  <c r="DQ99" i="8"/>
  <c r="DT99" i="8"/>
  <c r="AI83" i="8" l="1"/>
  <c r="AK83" i="8" s="1"/>
  <c r="AV83" i="8" s="1"/>
  <c r="AB82" i="8"/>
  <c r="AC82" i="8"/>
  <c r="ER111" i="8"/>
  <c r="ES111" i="8" s="1"/>
  <c r="ET111" i="8" s="1"/>
  <c r="EU111" i="8" s="1"/>
  <c r="EV111" i="8" s="1"/>
  <c r="EQ112" i="8" s="1"/>
  <c r="EO112" i="8" s="1"/>
  <c r="EW110" i="8"/>
  <c r="DB83" i="8"/>
  <c r="CA83" i="8"/>
  <c r="AT161" i="8"/>
  <c r="BM163" i="8"/>
  <c r="AE164" i="8"/>
  <c r="AZ162" i="8"/>
  <c r="BE162" i="8"/>
  <c r="BF162" i="8"/>
  <c r="BL162" i="8"/>
  <c r="BS162" i="8" s="1"/>
  <c r="BN162" i="8"/>
  <c r="AY162" i="8"/>
  <c r="AF163" i="8"/>
  <c r="AG162" i="8"/>
  <c r="BP161" i="8"/>
  <c r="BQ161" i="8" s="1"/>
  <c r="BO161" i="8"/>
  <c r="BZ161" i="8"/>
  <c r="BT161" i="8"/>
  <c r="BY161" i="8" s="1"/>
  <c r="CB161" i="8" s="1"/>
  <c r="BS161" i="8"/>
  <c r="FR101" i="8"/>
  <c r="FM102" i="8" s="1"/>
  <c r="FZ101" i="8"/>
  <c r="FP101" i="8"/>
  <c r="EE99" i="8"/>
  <c r="DU99" i="8"/>
  <c r="DW99" i="8"/>
  <c r="AL83" i="8" l="1"/>
  <c r="AM83" i="8" s="1"/>
  <c r="AO83" i="8" s="1"/>
  <c r="AK58" i="8"/>
  <c r="EW111" i="8"/>
  <c r="EP112" i="8"/>
  <c r="BR162" i="8"/>
  <c r="DF83" i="8"/>
  <c r="DC83" i="8"/>
  <c r="DE83" i="8"/>
  <c r="BG83" i="8"/>
  <c r="BU83" i="8"/>
  <c r="BW84" i="8" s="1"/>
  <c r="CC83" i="8"/>
  <c r="BV83" i="8"/>
  <c r="BY84" i="8" s="1"/>
  <c r="CB84" i="8" s="1"/>
  <c r="BX83" i="8"/>
  <c r="AN87" i="8"/>
  <c r="BO162" i="8"/>
  <c r="BP162" i="8"/>
  <c r="BQ162" i="8" s="1"/>
  <c r="BZ162" i="8"/>
  <c r="BT162" i="8"/>
  <c r="BY162" i="8" s="1"/>
  <c r="CB162" i="8" s="1"/>
  <c r="AZ163" i="8"/>
  <c r="BE163" i="8"/>
  <c r="AY163" i="8"/>
  <c r="BF163" i="8"/>
  <c r="BL163" i="8"/>
  <c r="BT163" i="8" s="1"/>
  <c r="BN163" i="8"/>
  <c r="AF164" i="8"/>
  <c r="AG163" i="8"/>
  <c r="BM164" i="8"/>
  <c r="AE165" i="8"/>
  <c r="AT162" i="8"/>
  <c r="AX87" i="8"/>
  <c r="ER112" i="8"/>
  <c r="ES112" i="8" s="1"/>
  <c r="ET112" i="8" s="1"/>
  <c r="EU112" i="8" s="1"/>
  <c r="EV112" i="8" s="1"/>
  <c r="EQ113" i="8" s="1"/>
  <c r="EO113" i="8" s="1"/>
  <c r="FV101" i="8"/>
  <c r="GA102" i="8"/>
  <c r="GB102" i="8" s="1"/>
  <c r="FY101" i="8"/>
  <c r="FQ101" i="8"/>
  <c r="FS101" i="8" s="1"/>
  <c r="DV99" i="8"/>
  <c r="DX99" i="8" s="1"/>
  <c r="EA99" i="8"/>
  <c r="DR100" i="8"/>
  <c r="BI83" i="8" l="1"/>
  <c r="DD83" i="8"/>
  <c r="DG83" i="8" s="1"/>
  <c r="CD83" i="8"/>
  <c r="CE83" i="8" s="1"/>
  <c r="CF83" i="8" s="1"/>
  <c r="AQ83" i="8"/>
  <c r="AP83" i="8"/>
  <c r="AR84" i="8"/>
  <c r="CG83" i="8"/>
  <c r="CH83" i="8" s="1"/>
  <c r="CO83" i="8" s="1"/>
  <c r="BR163" i="8"/>
  <c r="BS163" i="8"/>
  <c r="BY163" i="8"/>
  <c r="CB163" i="8" s="1"/>
  <c r="BM165" i="8"/>
  <c r="AE166" i="8"/>
  <c r="BO163" i="8"/>
  <c r="BP163" i="8"/>
  <c r="BQ163" i="8" s="1"/>
  <c r="BZ163" i="8"/>
  <c r="AZ164" i="8"/>
  <c r="AY164" i="8"/>
  <c r="BE164" i="8"/>
  <c r="BF164" i="8"/>
  <c r="BL164" i="8"/>
  <c r="BT164" i="8" s="1"/>
  <c r="BN164" i="8"/>
  <c r="AF165" i="8"/>
  <c r="AG164" i="8"/>
  <c r="AT163" i="8"/>
  <c r="EW112" i="8"/>
  <c r="EP113" i="8"/>
  <c r="ER113" i="8" s="1"/>
  <c r="ES113" i="8" s="1"/>
  <c r="ET113" i="8" s="1"/>
  <c r="EU113" i="8" s="1"/>
  <c r="EV113" i="8" s="1"/>
  <c r="EQ114" i="8" s="1"/>
  <c r="EO114" i="8" s="1"/>
  <c r="FT101" i="8"/>
  <c r="FU101" i="8"/>
  <c r="FW101" i="8" s="1"/>
  <c r="FN102" i="8" s="1"/>
  <c r="FX102" i="8" s="1"/>
  <c r="DZ99" i="8"/>
  <c r="ED99" i="8" s="1"/>
  <c r="DY99" i="8"/>
  <c r="BY164" i="8" l="1"/>
  <c r="CB164" i="8" s="1"/>
  <c r="CP83" i="8"/>
  <c r="CR83" i="8"/>
  <c r="CS83" i="8"/>
  <c r="CQ83" i="8" s="1"/>
  <c r="CT83" i="8" s="1"/>
  <c r="BC83" i="8" s="1"/>
  <c r="BH83" i="8" s="1"/>
  <c r="BJ83" i="8" s="1"/>
  <c r="AU83" i="8"/>
  <c r="AS83" i="8"/>
  <c r="AJ84" i="8"/>
  <c r="AH84" i="8" s="1"/>
  <c r="AT164" i="8"/>
  <c r="BR164" i="8"/>
  <c r="BS164" i="8"/>
  <c r="BO164" i="8"/>
  <c r="BP164" i="8"/>
  <c r="BQ164" i="8" s="1"/>
  <c r="BZ164" i="8"/>
  <c r="AZ165" i="8"/>
  <c r="BE165" i="8"/>
  <c r="BF165" i="8"/>
  <c r="BL165" i="8"/>
  <c r="BR165" i="8" s="1"/>
  <c r="BN165" i="8"/>
  <c r="AY165" i="8"/>
  <c r="AF166" i="8"/>
  <c r="AG165" i="8"/>
  <c r="BM166" i="8"/>
  <c r="AE167" i="8"/>
  <c r="EP114" i="8"/>
  <c r="ER114" i="8" s="1"/>
  <c r="GC102" i="8"/>
  <c r="GD102" i="8" s="1"/>
  <c r="FL102" i="8"/>
  <c r="FO102" i="8"/>
  <c r="EB99" i="8"/>
  <c r="DS100" i="8" s="1"/>
  <c r="EW113" i="8"/>
  <c r="AI84" i="8" l="1"/>
  <c r="AK84" i="8" s="1"/>
  <c r="AC83" i="8"/>
  <c r="AB83" i="8"/>
  <c r="BA84" i="8"/>
  <c r="BB84" i="8"/>
  <c r="AW88" i="8"/>
  <c r="BT165" i="8"/>
  <c r="BY165" i="8" s="1"/>
  <c r="CB165" i="8" s="1"/>
  <c r="BS165" i="8"/>
  <c r="BM167" i="8"/>
  <c r="AE168" i="8"/>
  <c r="BO165" i="8"/>
  <c r="BP165" i="8"/>
  <c r="BQ165" i="8" s="1"/>
  <c r="BZ165" i="8"/>
  <c r="AZ166" i="8"/>
  <c r="BE166" i="8"/>
  <c r="BF166" i="8"/>
  <c r="BL166" i="8"/>
  <c r="BS166" i="8" s="1"/>
  <c r="BN166" i="8"/>
  <c r="AY166" i="8"/>
  <c r="AF167" i="8"/>
  <c r="AG166" i="8"/>
  <c r="AT165" i="8"/>
  <c r="BQ93" i="8"/>
  <c r="FZ102" i="8"/>
  <c r="FP102" i="8"/>
  <c r="FR102" i="8"/>
  <c r="EF100" i="8"/>
  <c r="EG100" i="8" s="1"/>
  <c r="DQ100" i="8"/>
  <c r="DT100" i="8"/>
  <c r="EP115" i="8"/>
  <c r="ES114" i="8"/>
  <c r="ET114" i="8" s="1"/>
  <c r="EU114" i="8" s="1"/>
  <c r="EV114" i="8" s="1"/>
  <c r="EQ115" i="8" s="1"/>
  <c r="EO115" i="8" s="1"/>
  <c r="AL84" i="8" l="1"/>
  <c r="AV84" i="8"/>
  <c r="CA84" i="8"/>
  <c r="DB84" i="8"/>
  <c r="BT166" i="8"/>
  <c r="BY166" i="8" s="1"/>
  <c r="CB166" i="8" s="1"/>
  <c r="BR166" i="8"/>
  <c r="BP166" i="8"/>
  <c r="BQ166" i="8" s="1"/>
  <c r="BO166" i="8"/>
  <c r="BZ166" i="8"/>
  <c r="AZ167" i="8"/>
  <c r="BE167" i="8"/>
  <c r="BF167" i="8"/>
  <c r="BL167" i="8"/>
  <c r="BS167" i="8" s="1"/>
  <c r="AY167" i="8"/>
  <c r="BN167" i="8"/>
  <c r="AF168" i="8"/>
  <c r="AG167" i="8"/>
  <c r="BM168" i="8"/>
  <c r="AE169" i="8"/>
  <c r="AT166" i="8"/>
  <c r="BT96" i="8"/>
  <c r="BT102" i="8"/>
  <c r="BT116" i="8"/>
  <c r="BT106" i="8"/>
  <c r="BT100" i="8"/>
  <c r="BT108" i="8"/>
  <c r="BT98" i="8"/>
  <c r="BT104" i="8"/>
  <c r="BT94" i="8"/>
  <c r="BT110" i="8"/>
  <c r="FM103" i="8"/>
  <c r="GA103" i="8"/>
  <c r="GB103" i="8" s="1"/>
  <c r="FY102" i="8"/>
  <c r="FV102" i="8"/>
  <c r="FQ102" i="8"/>
  <c r="FS102" i="8" s="1"/>
  <c r="EW114" i="8"/>
  <c r="EE100" i="8"/>
  <c r="DW100" i="8"/>
  <c r="EA100" i="8" s="1"/>
  <c r="DU100" i="8"/>
  <c r="ER115" i="8"/>
  <c r="CC84" i="8" l="1"/>
  <c r="BV84" i="8"/>
  <c r="BY85" i="8" s="1"/>
  <c r="CB85" i="8" s="1"/>
  <c r="BU84" i="8"/>
  <c r="BW85" i="8" s="1"/>
  <c r="BX84" i="8"/>
  <c r="AM84" i="8"/>
  <c r="AO84" i="8" s="1"/>
  <c r="BG84" i="8"/>
  <c r="BI84" i="8"/>
  <c r="DE84" i="8"/>
  <c r="DC84" i="8"/>
  <c r="DF84" i="8"/>
  <c r="DD84" i="8" s="1"/>
  <c r="DG84" i="8" s="1"/>
  <c r="AT167" i="8"/>
  <c r="AZ168" i="8"/>
  <c r="BE168" i="8"/>
  <c r="BF168" i="8"/>
  <c r="BL168" i="8"/>
  <c r="BS168" i="8" s="1"/>
  <c r="BN168" i="8"/>
  <c r="AG168" i="8"/>
  <c r="AF169" i="8"/>
  <c r="AY168" i="8"/>
  <c r="BP167" i="8"/>
  <c r="BQ167" i="8" s="1"/>
  <c r="BO167" i="8"/>
  <c r="BZ167" i="8"/>
  <c r="BM169" i="8"/>
  <c r="AE170" i="8"/>
  <c r="BR167" i="8"/>
  <c r="BT167" i="8"/>
  <c r="BY167" i="8" s="1"/>
  <c r="CB167" i="8" s="1"/>
  <c r="DR101" i="8"/>
  <c r="FT102" i="8"/>
  <c r="FU102" i="8"/>
  <c r="FW102" i="8" s="1"/>
  <c r="FN103" i="8" s="1"/>
  <c r="DV100" i="8"/>
  <c r="DX100" i="8" s="1"/>
  <c r="ES115" i="8"/>
  <c r="ET115" i="8" s="1"/>
  <c r="EU115" i="8" s="1"/>
  <c r="EP116" i="8"/>
  <c r="AQ84" i="8" l="1"/>
  <c r="AR85" i="8"/>
  <c r="AP84" i="8"/>
  <c r="CD84" i="8"/>
  <c r="CE84" i="8" s="1"/>
  <c r="CF84" i="8" s="1"/>
  <c r="CG84" i="8"/>
  <c r="CH84" i="8" s="1"/>
  <c r="CO84" i="8" s="1"/>
  <c r="BT168" i="8"/>
  <c r="BY168" i="8" s="1"/>
  <c r="CB168" i="8" s="1"/>
  <c r="BR168" i="8"/>
  <c r="AY169" i="8"/>
  <c r="AZ169" i="8"/>
  <c r="BE169" i="8"/>
  <c r="BF169" i="8"/>
  <c r="BL169" i="8"/>
  <c r="BT169" i="8" s="1"/>
  <c r="BN169" i="8"/>
  <c r="AF170" i="8"/>
  <c r="AG169" i="8"/>
  <c r="BO168" i="8"/>
  <c r="BP168" i="8"/>
  <c r="BQ168" i="8" s="1"/>
  <c r="BZ168" i="8"/>
  <c r="BM170" i="8"/>
  <c r="AE171" i="8"/>
  <c r="AT168" i="8"/>
  <c r="FO103" i="8"/>
  <c r="GC103" i="8"/>
  <c r="GD103" i="8" s="1"/>
  <c r="FL103" i="8"/>
  <c r="FX103" i="8"/>
  <c r="DZ100" i="8"/>
  <c r="DY100" i="8"/>
  <c r="EV115" i="8"/>
  <c r="EQ116" i="8" s="1"/>
  <c r="EO116" i="8" s="1"/>
  <c r="EW115" i="8"/>
  <c r="CP84" i="8" l="1"/>
  <c r="CS84" i="8"/>
  <c r="CR84" i="8"/>
  <c r="AS84" i="8"/>
  <c r="AJ85" i="8"/>
  <c r="AH85" i="8" s="1"/>
  <c r="AU84" i="8"/>
  <c r="BO169" i="8"/>
  <c r="BP169" i="8"/>
  <c r="BQ169" i="8" s="1"/>
  <c r="BZ169" i="8"/>
  <c r="AF171" i="8"/>
  <c r="AY170" i="8"/>
  <c r="AZ170" i="8"/>
  <c r="BE170" i="8"/>
  <c r="BF170" i="8"/>
  <c r="BL170" i="8"/>
  <c r="BT170" i="8" s="1"/>
  <c r="BN170" i="8"/>
  <c r="AG170" i="8"/>
  <c r="BY169" i="8"/>
  <c r="CB169" i="8" s="1"/>
  <c r="AT169" i="8"/>
  <c r="BS169" i="8"/>
  <c r="BR169" i="8"/>
  <c r="BM171" i="8"/>
  <c r="AE172" i="8"/>
  <c r="FR103" i="8"/>
  <c r="FP103" i="8"/>
  <c r="FQ103" i="8" s="1"/>
  <c r="FS103" i="8" s="1"/>
  <c r="FZ103" i="8"/>
  <c r="EB100" i="8"/>
  <c r="DS101" i="8" s="1"/>
  <c r="ED100" i="8"/>
  <c r="ER116" i="8"/>
  <c r="CQ84" i="8" l="1"/>
  <c r="CT84" i="8" s="1"/>
  <c r="BC84" i="8" s="1"/>
  <c r="BH84" i="8" s="1"/>
  <c r="BJ84" i="8" s="1"/>
  <c r="AT170" i="8"/>
  <c r="AX88" i="8"/>
  <c r="BY170" i="8"/>
  <c r="CB170" i="8" s="1"/>
  <c r="AF172" i="8"/>
  <c r="AG171" i="8"/>
  <c r="AY171" i="8"/>
  <c r="AZ171" i="8"/>
  <c r="BE171" i="8"/>
  <c r="BF171" i="8"/>
  <c r="BL171" i="8"/>
  <c r="BS171" i="8" s="1"/>
  <c r="BN171" i="8"/>
  <c r="BR170" i="8"/>
  <c r="BO170" i="8"/>
  <c r="BP170" i="8"/>
  <c r="BQ170" i="8" s="1"/>
  <c r="BZ170" i="8"/>
  <c r="BM172" i="8"/>
  <c r="AE173" i="8"/>
  <c r="BS170" i="8"/>
  <c r="FU103" i="8"/>
  <c r="FT103" i="8"/>
  <c r="FM104" i="8"/>
  <c r="GA104" i="8"/>
  <c r="GB104" i="8" s="1"/>
  <c r="FV103" i="8"/>
  <c r="FY103" i="8"/>
  <c r="EF101" i="8"/>
  <c r="EG101" i="8" s="1"/>
  <c r="DQ101" i="8"/>
  <c r="DT101" i="8"/>
  <c r="EE101" i="8" s="1"/>
  <c r="EP117" i="8"/>
  <c r="ES116" i="8"/>
  <c r="ET116" i="8" s="1"/>
  <c r="EU116" i="8" s="1"/>
  <c r="AI85" i="8" l="1"/>
  <c r="AK85" i="8" s="1"/>
  <c r="AC84" i="8"/>
  <c r="AB84" i="8"/>
  <c r="BA85" i="8"/>
  <c r="BB85" i="8"/>
  <c r="AW89" i="8"/>
  <c r="AG172" i="8"/>
  <c r="AF173" i="8"/>
  <c r="AY172" i="8"/>
  <c r="AZ172" i="8"/>
  <c r="BE172" i="8"/>
  <c r="BF172" i="8"/>
  <c r="BL172" i="8"/>
  <c r="BR172" i="8" s="1"/>
  <c r="BN172" i="8"/>
  <c r="BM173" i="8"/>
  <c r="AE174" i="8"/>
  <c r="BO171" i="8"/>
  <c r="BP171" i="8"/>
  <c r="BQ171" i="8" s="1"/>
  <c r="BZ171" i="8"/>
  <c r="BT171" i="8"/>
  <c r="BY171" i="8" s="1"/>
  <c r="CB171" i="8" s="1"/>
  <c r="BR171" i="8"/>
  <c r="AT171" i="8"/>
  <c r="FW103" i="8"/>
  <c r="FN104" i="8" s="1"/>
  <c r="DU101" i="8"/>
  <c r="DW101" i="8"/>
  <c r="DR102" i="8" s="1"/>
  <c r="EV116" i="8"/>
  <c r="EQ117" i="8" s="1"/>
  <c r="EO117" i="8" s="1"/>
  <c r="EW116" i="8"/>
  <c r="AV85" i="8" l="1"/>
  <c r="AL85" i="8"/>
  <c r="DB85" i="8"/>
  <c r="CA85" i="8"/>
  <c r="BM174" i="8"/>
  <c r="AE175" i="8"/>
  <c r="AG173" i="8"/>
  <c r="AY173" i="8"/>
  <c r="AF174" i="8"/>
  <c r="AZ173" i="8"/>
  <c r="BE173" i="8"/>
  <c r="BN173" i="8"/>
  <c r="BF173" i="8"/>
  <c r="BL173" i="8"/>
  <c r="BT173" i="8" s="1"/>
  <c r="BO172" i="8"/>
  <c r="BP172" i="8"/>
  <c r="BQ172" i="8" s="1"/>
  <c r="BZ172" i="8"/>
  <c r="BT172" i="8"/>
  <c r="BY172" i="8" s="1"/>
  <c r="CB172" i="8" s="1"/>
  <c r="BS172" i="8"/>
  <c r="AT172" i="8"/>
  <c r="GC104" i="8"/>
  <c r="GD104" i="8" s="1"/>
  <c r="FL104" i="8"/>
  <c r="FO104" i="8"/>
  <c r="FX104" i="8"/>
  <c r="DV101" i="8"/>
  <c r="DX101" i="8" s="1"/>
  <c r="EA101" i="8"/>
  <c r="ER117" i="8"/>
  <c r="BU85" i="8" l="1"/>
  <c r="BW86" i="8" s="1"/>
  <c r="BV85" i="8"/>
  <c r="CC85" i="8"/>
  <c r="BX85" i="8"/>
  <c r="DE85" i="8"/>
  <c r="DC85" i="8"/>
  <c r="DF85" i="8"/>
  <c r="DD85" i="8" s="1"/>
  <c r="DG85" i="8" s="1"/>
  <c r="AM85" i="8"/>
  <c r="AO85" i="8" s="1"/>
  <c r="BG85" i="8"/>
  <c r="BI85" i="8"/>
  <c r="BP173" i="8"/>
  <c r="BQ173" i="8" s="1"/>
  <c r="BO173" i="8"/>
  <c r="BZ173" i="8"/>
  <c r="BY173" i="8"/>
  <c r="CB173" i="8" s="1"/>
  <c r="BR173" i="8"/>
  <c r="BM175" i="8"/>
  <c r="AE176" i="8"/>
  <c r="BL174" i="8"/>
  <c r="BS174" i="8" s="1"/>
  <c r="BN174" i="8"/>
  <c r="BF174" i="8"/>
  <c r="AG174" i="8"/>
  <c r="AF175" i="8"/>
  <c r="BE174" i="8"/>
  <c r="AY174" i="8"/>
  <c r="AZ174" i="8"/>
  <c r="BS173" i="8"/>
  <c r="AT173" i="8"/>
  <c r="FP104" i="8"/>
  <c r="FR104" i="8"/>
  <c r="FZ104" i="8"/>
  <c r="DZ101" i="8"/>
  <c r="EB101" i="8" s="1"/>
  <c r="DS102" i="8" s="1"/>
  <c r="DY101" i="8"/>
  <c r="EP118" i="8"/>
  <c r="ES117" i="8"/>
  <c r="ET117" i="8" s="1"/>
  <c r="EU117" i="8" s="1"/>
  <c r="AP85" i="8" l="1"/>
  <c r="AQ85" i="8"/>
  <c r="AR86" i="8"/>
  <c r="CD85" i="8"/>
  <c r="CE85" i="8" s="1"/>
  <c r="CF85" i="8" s="1"/>
  <c r="CG85" i="8"/>
  <c r="CH85" i="8" s="1"/>
  <c r="CO85" i="8" s="1"/>
  <c r="BF175" i="8"/>
  <c r="AZ175" i="8"/>
  <c r="BE175" i="8"/>
  <c r="BL175" i="8"/>
  <c r="BT175" i="8" s="1"/>
  <c r="BN175" i="8"/>
  <c r="AY175" i="8"/>
  <c r="AF176" i="8"/>
  <c r="AG175" i="8"/>
  <c r="BO174" i="8"/>
  <c r="BP174" i="8"/>
  <c r="BQ174" i="8" s="1"/>
  <c r="BZ174" i="8"/>
  <c r="BT174" i="8"/>
  <c r="BY174" i="8" s="1"/>
  <c r="CB174" i="8" s="1"/>
  <c r="BM176" i="8"/>
  <c r="AE177" i="8"/>
  <c r="BR174" i="8"/>
  <c r="AT174" i="8"/>
  <c r="FM105" i="8"/>
  <c r="GA105" i="8"/>
  <c r="GB105" i="8" s="1"/>
  <c r="FY104" i="8"/>
  <c r="FV104" i="8"/>
  <c r="FQ104" i="8"/>
  <c r="FS104" i="8" s="1"/>
  <c r="ED101" i="8"/>
  <c r="EF102" i="8"/>
  <c r="EG102" i="8" s="1"/>
  <c r="DQ102" i="8"/>
  <c r="DT102" i="8"/>
  <c r="EV117" i="8"/>
  <c r="EQ118" i="8" s="1"/>
  <c r="EO118" i="8" s="1"/>
  <c r="EW117" i="8"/>
  <c r="BY175" i="8" l="1"/>
  <c r="CB175" i="8" s="1"/>
  <c r="CR85" i="8"/>
  <c r="CS85" i="8"/>
  <c r="CQ85" i="8" s="1"/>
  <c r="CT85" i="8" s="1"/>
  <c r="BC85" i="8" s="1"/>
  <c r="BH85" i="8" s="1"/>
  <c r="BJ85" i="8" s="1"/>
  <c r="CP85" i="8"/>
  <c r="BS175" i="8"/>
  <c r="BR175" i="8"/>
  <c r="AU85" i="8"/>
  <c r="AJ86" i="8"/>
  <c r="AH86" i="8" s="1"/>
  <c r="AS85" i="8"/>
  <c r="BP175" i="8"/>
  <c r="BQ175" i="8" s="1"/>
  <c r="BZ175" i="8"/>
  <c r="AY176" i="8"/>
  <c r="BE176" i="8"/>
  <c r="BF176" i="8"/>
  <c r="BL176" i="8"/>
  <c r="BT176" i="8" s="1"/>
  <c r="BN176" i="8"/>
  <c r="AZ176" i="8"/>
  <c r="AG176" i="8"/>
  <c r="AF177" i="8"/>
  <c r="BO175" i="8"/>
  <c r="AT175" i="8"/>
  <c r="AT176" i="8" s="1"/>
  <c r="BM177" i="8"/>
  <c r="AE178" i="8"/>
  <c r="FU104" i="8"/>
  <c r="FW104" i="8" s="1"/>
  <c r="FN105" i="8" s="1"/>
  <c r="FT104" i="8"/>
  <c r="DW102" i="8"/>
  <c r="EA102" i="8" s="1"/>
  <c r="EE102" i="8"/>
  <c r="DU102" i="8"/>
  <c r="ER118" i="8"/>
  <c r="ES118" i="8" s="1"/>
  <c r="ET118" i="8" s="1"/>
  <c r="EU118" i="8" s="1"/>
  <c r="EV118" i="8" s="1"/>
  <c r="EQ119" i="8" s="1"/>
  <c r="EO119" i="8" s="1"/>
  <c r="AI86" i="8" l="1"/>
  <c r="AK86" i="8" s="1"/>
  <c r="AB85" i="8"/>
  <c r="AC85" i="8"/>
  <c r="BR176" i="8"/>
  <c r="BA86" i="8"/>
  <c r="BB86" i="8"/>
  <c r="BS176" i="8"/>
  <c r="BY176" i="8"/>
  <c r="CB176" i="8" s="1"/>
  <c r="AY177" i="8"/>
  <c r="AZ177" i="8"/>
  <c r="BE177" i="8"/>
  <c r="BF177" i="8"/>
  <c r="BL177" i="8"/>
  <c r="BS177" i="8" s="1"/>
  <c r="BN177" i="8"/>
  <c r="AG177" i="8"/>
  <c r="AT177" i="8" s="1"/>
  <c r="AF178" i="8"/>
  <c r="BO176" i="8"/>
  <c r="BP176" i="8"/>
  <c r="BQ176" i="8" s="1"/>
  <c r="BZ176" i="8"/>
  <c r="AE179" i="8"/>
  <c r="BM178" i="8"/>
  <c r="DR103" i="8"/>
  <c r="FO105" i="8"/>
  <c r="GC105" i="8"/>
  <c r="GD105" i="8" s="1"/>
  <c r="FL105" i="8"/>
  <c r="FX105" i="8"/>
  <c r="EP119" i="8"/>
  <c r="ER119" i="8" s="1"/>
  <c r="ES119" i="8" s="1"/>
  <c r="ET119" i="8" s="1"/>
  <c r="EU119" i="8" s="1"/>
  <c r="EV119" i="8" s="1"/>
  <c r="EQ120" i="8" s="1"/>
  <c r="EO120" i="8" s="1"/>
  <c r="DV102" i="8"/>
  <c r="DX102" i="8" s="1"/>
  <c r="EW118" i="8"/>
  <c r="AV86" i="8" l="1"/>
  <c r="AL86" i="8"/>
  <c r="CA86" i="8"/>
  <c r="DB86" i="8"/>
  <c r="BM179" i="8"/>
  <c r="AE180" i="8"/>
  <c r="AZ178" i="8"/>
  <c r="BE178" i="8"/>
  <c r="BF178" i="8"/>
  <c r="BL178" i="8"/>
  <c r="BR178" i="8" s="1"/>
  <c r="BN178" i="8"/>
  <c r="AF179" i="8"/>
  <c r="AG178" i="8"/>
  <c r="AT178" i="8" s="1"/>
  <c r="AY178" i="8"/>
  <c r="BO177" i="8"/>
  <c r="BP177" i="8"/>
  <c r="BQ177" i="8" s="1"/>
  <c r="BZ177" i="8"/>
  <c r="BR177" i="8"/>
  <c r="BT177" i="8"/>
  <c r="BY177" i="8" s="1"/>
  <c r="CB177" i="8" s="1"/>
  <c r="BR95" i="8"/>
  <c r="EP120" i="8"/>
  <c r="ER120" i="8" s="1"/>
  <c r="FB90" i="8" s="1"/>
  <c r="FZ105" i="8"/>
  <c r="FP105" i="8"/>
  <c r="FR105" i="8"/>
  <c r="DZ102" i="8"/>
  <c r="DY102" i="8"/>
  <c r="EW119" i="8"/>
  <c r="DE86" i="8" l="1"/>
  <c r="DC86" i="8"/>
  <c r="DF86" i="8"/>
  <c r="AM86" i="8"/>
  <c r="AO86" i="8" s="1"/>
  <c r="BI86" i="8"/>
  <c r="BG86" i="8"/>
  <c r="CC86" i="8"/>
  <c r="BU86" i="8"/>
  <c r="BW87" i="8" s="1"/>
  <c r="BV86" i="8"/>
  <c r="BX86" i="8"/>
  <c r="AW90" i="8"/>
  <c r="BP178" i="8"/>
  <c r="BQ178" i="8" s="1"/>
  <c r="BO178" i="8"/>
  <c r="BZ178" i="8"/>
  <c r="BF179" i="8"/>
  <c r="AZ179" i="8"/>
  <c r="BE179" i="8"/>
  <c r="BL179" i="8"/>
  <c r="BR179" i="8" s="1"/>
  <c r="BN179" i="8"/>
  <c r="AF180" i="8"/>
  <c r="AY179" i="8"/>
  <c r="AG179" i="8"/>
  <c r="BM180" i="8"/>
  <c r="AE181" i="8"/>
  <c r="BT178" i="8"/>
  <c r="BY178" i="8" s="1"/>
  <c r="CB178" i="8" s="1"/>
  <c r="BS178" i="8"/>
  <c r="BD89" i="8"/>
  <c r="AX89" i="8"/>
  <c r="FM106" i="8"/>
  <c r="GA106" i="8"/>
  <c r="GB106" i="8" s="1"/>
  <c r="FY105" i="8"/>
  <c r="FV105" i="8"/>
  <c r="FQ105" i="8"/>
  <c r="FS105" i="8" s="1"/>
  <c r="EB102" i="8"/>
  <c r="DS103" i="8" s="1"/>
  <c r="ED102" i="8"/>
  <c r="EP121" i="8"/>
  <c r="ES120" i="8"/>
  <c r="ET120" i="8" s="1"/>
  <c r="EU120" i="8" s="1"/>
  <c r="DD86" i="8" l="1"/>
  <c r="DG86" i="8" s="1"/>
  <c r="CD86" i="8"/>
  <c r="CE86" i="8" s="1"/>
  <c r="CF86" i="8" s="1"/>
  <c r="CG86" i="8" s="1"/>
  <c r="CH86" i="8" s="1"/>
  <c r="CO86" i="8" s="1"/>
  <c r="AQ86" i="8"/>
  <c r="AR87" i="8"/>
  <c r="AP86" i="8"/>
  <c r="BF180" i="8"/>
  <c r="BE180" i="8"/>
  <c r="BL180" i="8"/>
  <c r="BR180" i="8" s="1"/>
  <c r="AZ180" i="8"/>
  <c r="BN180" i="8"/>
  <c r="AF181" i="8"/>
  <c r="AG180" i="8"/>
  <c r="AY180" i="8"/>
  <c r="BT179" i="8"/>
  <c r="BY179" i="8" s="1"/>
  <c r="CB179" i="8" s="1"/>
  <c r="BP179" i="8"/>
  <c r="BQ179" i="8" s="1"/>
  <c r="BO179" i="8"/>
  <c r="BZ179" i="8"/>
  <c r="BM181" i="8"/>
  <c r="AE182" i="8"/>
  <c r="BS179" i="8"/>
  <c r="AT179" i="8"/>
  <c r="FU105" i="8"/>
  <c r="FW105" i="8" s="1"/>
  <c r="FN106" i="8" s="1"/>
  <c r="FX106" i="8" s="1"/>
  <c r="FT105" i="8"/>
  <c r="EF103" i="8"/>
  <c r="EG103" i="8" s="1"/>
  <c r="DQ103" i="8"/>
  <c r="DT103" i="8"/>
  <c r="EV120" i="8"/>
  <c r="EQ121" i="8" s="1"/>
  <c r="EO121" i="8" s="1"/>
  <c r="EW120" i="8"/>
  <c r="AJ87" i="8" l="1"/>
  <c r="AH87" i="8" s="1"/>
  <c r="AS86" i="8"/>
  <c r="AU86" i="8"/>
  <c r="CR86" i="8"/>
  <c r="CP86" i="8"/>
  <c r="CS86" i="8"/>
  <c r="CQ86" i="8" s="1"/>
  <c r="CT86" i="8" s="1"/>
  <c r="BC86" i="8" s="1"/>
  <c r="BH86" i="8" s="1"/>
  <c r="BJ86" i="8" s="1"/>
  <c r="BP180" i="8"/>
  <c r="BQ180" i="8" s="1"/>
  <c r="BO180" i="8"/>
  <c r="BZ180" i="8"/>
  <c r="BF181" i="8"/>
  <c r="BE181" i="8"/>
  <c r="BL181" i="8"/>
  <c r="BR181" i="8" s="1"/>
  <c r="BN181" i="8"/>
  <c r="AF182" i="8"/>
  <c r="AY181" i="8"/>
  <c r="AG181" i="8"/>
  <c r="AZ181" i="8"/>
  <c r="AT180" i="8"/>
  <c r="BT180" i="8"/>
  <c r="BY180" i="8" s="1"/>
  <c r="CB180" i="8" s="1"/>
  <c r="BS180" i="8"/>
  <c r="BM182" i="8"/>
  <c r="AE183" i="8"/>
  <c r="FO106" i="8"/>
  <c r="FR106" i="8" s="1"/>
  <c r="FM107" i="8" s="1"/>
  <c r="GC106" i="8"/>
  <c r="GD106" i="8" s="1"/>
  <c r="FL106" i="8"/>
  <c r="ER121" i="8"/>
  <c r="ES121" i="8" s="1"/>
  <c r="ET121" i="8" s="1"/>
  <c r="EU121" i="8" s="1"/>
  <c r="EV121" i="8" s="1"/>
  <c r="EQ122" i="8" s="1"/>
  <c r="EO122" i="8" s="1"/>
  <c r="DU103" i="8"/>
  <c r="DW103" i="8"/>
  <c r="DR104" i="8" s="1"/>
  <c r="EE103" i="8"/>
  <c r="AI87" i="8" l="1"/>
  <c r="AK87" i="8" s="1"/>
  <c r="AC86" i="8"/>
  <c r="AB86" i="8"/>
  <c r="AT181" i="8"/>
  <c r="BA87" i="8"/>
  <c r="BB87" i="8"/>
  <c r="BF182" i="8"/>
  <c r="BE182" i="8"/>
  <c r="BN182" i="8"/>
  <c r="AY182" i="8"/>
  <c r="BL182" i="8"/>
  <c r="BR182" i="8" s="1"/>
  <c r="AZ182" i="8"/>
  <c r="AF183" i="8"/>
  <c r="AG182" i="8"/>
  <c r="BT181" i="8"/>
  <c r="BY181" i="8" s="1"/>
  <c r="CB181" i="8" s="1"/>
  <c r="BM183" i="8"/>
  <c r="AE184" i="8"/>
  <c r="BP181" i="8"/>
  <c r="BQ181" i="8" s="1"/>
  <c r="BO181" i="8"/>
  <c r="BZ181" i="8"/>
  <c r="BS181" i="8"/>
  <c r="EP122" i="8"/>
  <c r="ER122" i="8" s="1"/>
  <c r="FP106" i="8"/>
  <c r="FQ106" i="8" s="1"/>
  <c r="FS106" i="8" s="1"/>
  <c r="FU106" i="8" s="1"/>
  <c r="FZ106" i="8"/>
  <c r="GA107" i="8"/>
  <c r="GB107" i="8" s="1"/>
  <c r="FV106" i="8"/>
  <c r="FY106" i="8"/>
  <c r="EA103" i="8"/>
  <c r="DV103" i="8"/>
  <c r="DX103" i="8" s="1"/>
  <c r="EW121" i="8"/>
  <c r="AL87" i="8" l="1"/>
  <c r="AV87" i="8"/>
  <c r="BM184" i="8"/>
  <c r="AE185" i="8"/>
  <c r="BF183" i="8"/>
  <c r="BE183" i="8"/>
  <c r="BL183" i="8"/>
  <c r="BR183" i="8" s="1"/>
  <c r="BN183" i="8"/>
  <c r="AF184" i="8"/>
  <c r="AY183" i="8"/>
  <c r="AZ183" i="8"/>
  <c r="AG183" i="8"/>
  <c r="BS182" i="8"/>
  <c r="BP182" i="8"/>
  <c r="BQ182" i="8" s="1"/>
  <c r="BO182" i="8"/>
  <c r="BZ182" i="8"/>
  <c r="BT182" i="8"/>
  <c r="BY182" i="8" s="1"/>
  <c r="CB182" i="8" s="1"/>
  <c r="AT182" i="8"/>
  <c r="FT106" i="8"/>
  <c r="FW106" i="8"/>
  <c r="FN107" i="8" s="1"/>
  <c r="DZ103" i="8"/>
  <c r="DY103" i="8"/>
  <c r="ES122" i="8"/>
  <c r="ET122" i="8" s="1"/>
  <c r="EU122" i="8" s="1"/>
  <c r="EV122" i="8" s="1"/>
  <c r="EQ123" i="8" s="1"/>
  <c r="EO123" i="8" s="1"/>
  <c r="EP123" i="8"/>
  <c r="BI87" i="8" l="1"/>
  <c r="AM87" i="8"/>
  <c r="AO87" i="8" s="1"/>
  <c r="BG87" i="8"/>
  <c r="AN90" i="8"/>
  <c r="BP183" i="8"/>
  <c r="BQ183" i="8" s="1"/>
  <c r="BO183" i="8"/>
  <c r="BZ183" i="8"/>
  <c r="BF184" i="8"/>
  <c r="BE184" i="8"/>
  <c r="BN184" i="8"/>
  <c r="BL184" i="8"/>
  <c r="BT184" i="8" s="1"/>
  <c r="BY184" i="8" s="1"/>
  <c r="CB184" i="8" s="1"/>
  <c r="AF185" i="8"/>
  <c r="AY184" i="8"/>
  <c r="AZ184" i="8"/>
  <c r="AG184" i="8"/>
  <c r="BT183" i="8"/>
  <c r="BY183" i="8" s="1"/>
  <c r="CB183" i="8" s="1"/>
  <c r="BS183" i="8"/>
  <c r="AT183" i="8"/>
  <c r="AE186" i="8"/>
  <c r="BM185" i="8"/>
  <c r="GC107" i="8"/>
  <c r="GD107" i="8" s="1"/>
  <c r="FL107" i="8"/>
  <c r="FO107" i="8"/>
  <c r="FX107" i="8"/>
  <c r="ED103" i="8"/>
  <c r="EB103" i="8"/>
  <c r="DS104" i="8" s="1"/>
  <c r="ER123" i="8"/>
  <c r="EW122" i="8"/>
  <c r="AQ87" i="8" l="1"/>
  <c r="AP87" i="8"/>
  <c r="AT184" i="8"/>
  <c r="BM186" i="8"/>
  <c r="AE187" i="8"/>
  <c r="BP184" i="8"/>
  <c r="BQ184" i="8" s="1"/>
  <c r="BO184" i="8"/>
  <c r="BZ184" i="8"/>
  <c r="BS184" i="8"/>
  <c r="AG185" i="8"/>
  <c r="BN185" i="8"/>
  <c r="AF186" i="8"/>
  <c r="AY185" i="8"/>
  <c r="BL185" i="8"/>
  <c r="BR185" i="8" s="1"/>
  <c r="AZ185" i="8"/>
  <c r="BE185" i="8"/>
  <c r="BF185" i="8"/>
  <c r="BR184" i="8"/>
  <c r="FP107" i="8"/>
  <c r="FR107" i="8"/>
  <c r="FM108" i="8" s="1"/>
  <c r="FZ107" i="8"/>
  <c r="EF104" i="8"/>
  <c r="EG104" i="8" s="1"/>
  <c r="DQ104" i="8"/>
  <c r="DT104" i="8"/>
  <c r="ES123" i="8"/>
  <c r="ET123" i="8" s="1"/>
  <c r="EU123" i="8" s="1"/>
  <c r="EV123" i="8" s="1"/>
  <c r="EQ124" i="8" s="1"/>
  <c r="EO124" i="8" s="1"/>
  <c r="EP124" i="8"/>
  <c r="AU87" i="8" l="1"/>
  <c r="AJ88" i="8"/>
  <c r="AH88" i="8" s="1"/>
  <c r="AS87" i="8"/>
  <c r="BD87" i="8" s="1"/>
  <c r="BN186" i="8"/>
  <c r="BF186" i="8"/>
  <c r="BL186" i="8"/>
  <c r="BS186" i="8" s="1"/>
  <c r="AG186" i="8"/>
  <c r="AF187" i="8"/>
  <c r="AY186" i="8"/>
  <c r="AZ186" i="8"/>
  <c r="BE186" i="8"/>
  <c r="BZ185" i="8"/>
  <c r="BO185" i="8"/>
  <c r="BP185" i="8"/>
  <c r="BQ185" i="8" s="1"/>
  <c r="AT185" i="8"/>
  <c r="BS185" i="8"/>
  <c r="BM187" i="8"/>
  <c r="AE188" i="8"/>
  <c r="BT185" i="8"/>
  <c r="BY185" i="8" s="1"/>
  <c r="CB185" i="8" s="1"/>
  <c r="GA108" i="8"/>
  <c r="GB108" i="8" s="1"/>
  <c r="FY107" i="8"/>
  <c r="FV107" i="8"/>
  <c r="FQ107" i="8"/>
  <c r="FS107" i="8" s="1"/>
  <c r="EE104" i="8"/>
  <c r="DW104" i="8"/>
  <c r="DR105" i="8" s="1"/>
  <c r="DU104" i="8"/>
  <c r="ER124" i="8"/>
  <c r="EW123" i="8"/>
  <c r="CA87" i="8" l="1"/>
  <c r="DB87" i="8"/>
  <c r="BR186" i="8"/>
  <c r="AW91" i="8"/>
  <c r="BT186" i="8"/>
  <c r="BM188" i="8"/>
  <c r="AE189" i="8"/>
  <c r="BZ186" i="8"/>
  <c r="BP186" i="8"/>
  <c r="BQ186" i="8" s="1"/>
  <c r="BO186" i="8"/>
  <c r="BY186" i="8"/>
  <c r="CB186" i="8" s="1"/>
  <c r="AF188" i="8"/>
  <c r="AY187" i="8"/>
  <c r="AZ187" i="8"/>
  <c r="BE187" i="8"/>
  <c r="BF187" i="8"/>
  <c r="BL187" i="8"/>
  <c r="BR187" i="8" s="1"/>
  <c r="AG187" i="8"/>
  <c r="BN187" i="8"/>
  <c r="AT186" i="8"/>
  <c r="AX90" i="8"/>
  <c r="FU107" i="8"/>
  <c r="FW107" i="8" s="1"/>
  <c r="FN108" i="8" s="1"/>
  <c r="FT107" i="8"/>
  <c r="DV104" i="8"/>
  <c r="DX104" i="8" s="1"/>
  <c r="EA104" i="8"/>
  <c r="EP125" i="8"/>
  <c r="ES124" i="8"/>
  <c r="ET124" i="8" s="1"/>
  <c r="EU124" i="8" s="1"/>
  <c r="EV124" i="8" s="1"/>
  <c r="EQ125" i="8" s="1"/>
  <c r="EO125" i="8" s="1"/>
  <c r="DF87" i="8" l="1"/>
  <c r="DE87" i="8"/>
  <c r="DC87" i="8"/>
  <c r="BV87" i="8"/>
  <c r="BY88" i="8" s="1"/>
  <c r="CB88" i="8" s="1"/>
  <c r="CC87" i="8"/>
  <c r="BU87" i="8"/>
  <c r="BW88" i="8" s="1"/>
  <c r="BX87" i="8"/>
  <c r="BT187" i="8"/>
  <c r="BY187" i="8" s="1"/>
  <c r="CB187" i="8" s="1"/>
  <c r="BS187" i="8"/>
  <c r="AT187" i="8"/>
  <c r="AG188" i="8"/>
  <c r="AF189" i="8"/>
  <c r="AY188" i="8"/>
  <c r="AZ188" i="8"/>
  <c r="BE188" i="8"/>
  <c r="BF188" i="8"/>
  <c r="BL188" i="8"/>
  <c r="BS188" i="8" s="1"/>
  <c r="BN188" i="8"/>
  <c r="BM189" i="8"/>
  <c r="AE190" i="8"/>
  <c r="BP187" i="8"/>
  <c r="BQ187" i="8" s="1"/>
  <c r="BO187" i="8"/>
  <c r="BZ187" i="8"/>
  <c r="BD90" i="8"/>
  <c r="GC108" i="8"/>
  <c r="GD108" i="8" s="1"/>
  <c r="FL108" i="8"/>
  <c r="FO108" i="8"/>
  <c r="FX108" i="8"/>
  <c r="DZ104" i="8"/>
  <c r="EB104" i="8" s="1"/>
  <c r="DS105" i="8" s="1"/>
  <c r="DY104" i="8"/>
  <c r="EW124" i="8"/>
  <c r="ER125" i="8"/>
  <c r="DD87" i="8" l="1"/>
  <c r="DG87" i="8" s="1"/>
  <c r="CD87" i="8"/>
  <c r="CE87" i="8" s="1"/>
  <c r="CF87" i="8" s="1"/>
  <c r="CG87" i="8"/>
  <c r="CH87" i="8" s="1"/>
  <c r="CO87" i="8" s="1"/>
  <c r="AF190" i="8"/>
  <c r="AG189" i="8"/>
  <c r="AY189" i="8"/>
  <c r="AZ189" i="8"/>
  <c r="BE189" i="8"/>
  <c r="BF189" i="8"/>
  <c r="BL189" i="8"/>
  <c r="BT189" i="8" s="1"/>
  <c r="BN189" i="8"/>
  <c r="BT188" i="8"/>
  <c r="BY188" i="8" s="1"/>
  <c r="CB188" i="8" s="1"/>
  <c r="BO188" i="8"/>
  <c r="BP188" i="8"/>
  <c r="BQ188" i="8" s="1"/>
  <c r="BZ188" i="8"/>
  <c r="BM190" i="8"/>
  <c r="AE191" i="8"/>
  <c r="BR188" i="8"/>
  <c r="AT188" i="8"/>
  <c r="ED104" i="8"/>
  <c r="FZ108" i="8"/>
  <c r="FP108" i="8"/>
  <c r="FR108" i="8"/>
  <c r="FM109" i="8" s="1"/>
  <c r="EF105" i="8"/>
  <c r="EG105" i="8" s="1"/>
  <c r="DQ105" i="8"/>
  <c r="DT105" i="8"/>
  <c r="EP126" i="8"/>
  <c r="ES125" i="8"/>
  <c r="ET125" i="8" s="1"/>
  <c r="EU125" i="8" s="1"/>
  <c r="CP87" i="8" l="1"/>
  <c r="CR87" i="8"/>
  <c r="CS87" i="8"/>
  <c r="BR189" i="8"/>
  <c r="BY189" i="8"/>
  <c r="CB189" i="8" s="1"/>
  <c r="AT189" i="8"/>
  <c r="BS189" i="8"/>
  <c r="AF191" i="8"/>
  <c r="AG190" i="8"/>
  <c r="AY190" i="8"/>
  <c r="AZ190" i="8"/>
  <c r="BE190" i="8"/>
  <c r="BF190" i="8"/>
  <c r="BL190" i="8"/>
  <c r="BR190" i="8" s="1"/>
  <c r="BN190" i="8"/>
  <c r="BM191" i="8"/>
  <c r="AE192" i="8"/>
  <c r="BO189" i="8"/>
  <c r="BP189" i="8"/>
  <c r="BQ189" i="8" s="1"/>
  <c r="BZ189" i="8"/>
  <c r="GA109" i="8"/>
  <c r="GB109" i="8" s="1"/>
  <c r="FY108" i="8"/>
  <c r="FV108" i="8"/>
  <c r="FQ108" i="8"/>
  <c r="FS108" i="8" s="1"/>
  <c r="EE105" i="8"/>
  <c r="DU105" i="8"/>
  <c r="DW105" i="8"/>
  <c r="EA105" i="8" s="1"/>
  <c r="EV125" i="8"/>
  <c r="EQ126" i="8" s="1"/>
  <c r="EO126" i="8" s="1"/>
  <c r="EW125" i="8"/>
  <c r="CQ87" i="8" l="1"/>
  <c r="CT87" i="8" s="1"/>
  <c r="BC87" i="8" s="1"/>
  <c r="BH87" i="8" s="1"/>
  <c r="BJ87" i="8" s="1"/>
  <c r="AI88" i="8" s="1"/>
  <c r="AK88" i="8" s="1"/>
  <c r="BA88" i="8"/>
  <c r="BB88" i="8"/>
  <c r="BS190" i="8"/>
  <c r="AF192" i="8"/>
  <c r="AG191" i="8"/>
  <c r="AY191" i="8"/>
  <c r="AZ191" i="8"/>
  <c r="BE191" i="8"/>
  <c r="BF191" i="8"/>
  <c r="BL191" i="8"/>
  <c r="BR191" i="8" s="1"/>
  <c r="BN191" i="8"/>
  <c r="BM192" i="8"/>
  <c r="AE193" i="8"/>
  <c r="BT190" i="8"/>
  <c r="BY190" i="8" s="1"/>
  <c r="CB190" i="8" s="1"/>
  <c r="BO190" i="8"/>
  <c r="BP190" i="8"/>
  <c r="BQ190" i="8" s="1"/>
  <c r="BZ190" i="8"/>
  <c r="AT190" i="8"/>
  <c r="FU108" i="8"/>
  <c r="FW108" i="8" s="1"/>
  <c r="FN109" i="8" s="1"/>
  <c r="FT108" i="8"/>
  <c r="DR106" i="8"/>
  <c r="DV105" i="8"/>
  <c r="DX105" i="8" s="1"/>
  <c r="ER126" i="8"/>
  <c r="AB87" i="8" l="1"/>
  <c r="AC87" i="8"/>
  <c r="AN88" i="8"/>
  <c r="AL88" i="8"/>
  <c r="AV88" i="8"/>
  <c r="AT191" i="8"/>
  <c r="BS191" i="8"/>
  <c r="BO191" i="8"/>
  <c r="BP191" i="8"/>
  <c r="BQ191" i="8" s="1"/>
  <c r="BZ191" i="8"/>
  <c r="AF193" i="8"/>
  <c r="AG192" i="8"/>
  <c r="AT192" i="8" s="1"/>
  <c r="AY192" i="8"/>
  <c r="AZ192" i="8"/>
  <c r="BE192" i="8"/>
  <c r="BF192" i="8"/>
  <c r="BL192" i="8"/>
  <c r="BR192" i="8" s="1"/>
  <c r="BN192" i="8"/>
  <c r="BM193" i="8"/>
  <c r="AE194" i="8"/>
  <c r="BT191" i="8"/>
  <c r="BY191" i="8" s="1"/>
  <c r="CB191" i="8" s="1"/>
  <c r="GC109" i="8"/>
  <c r="GD109" i="8" s="1"/>
  <c r="FL109" i="8"/>
  <c r="FO109" i="8"/>
  <c r="FX109" i="8"/>
  <c r="DZ105" i="8"/>
  <c r="DY105" i="8"/>
  <c r="EP127" i="8"/>
  <c r="ES126" i="8"/>
  <c r="ET126" i="8" s="1"/>
  <c r="EU126" i="8" s="1"/>
  <c r="AR88" i="8" l="1"/>
  <c r="BI88" i="8"/>
  <c r="AM88" i="8"/>
  <c r="AO88" i="8" s="1"/>
  <c r="BG88" i="8"/>
  <c r="BS192" i="8"/>
  <c r="BT192" i="8"/>
  <c r="BY192" i="8" s="1"/>
  <c r="CB192" i="8" s="1"/>
  <c r="BO192" i="8"/>
  <c r="BP192" i="8"/>
  <c r="BQ192" i="8" s="1"/>
  <c r="BZ192" i="8"/>
  <c r="AG193" i="8"/>
  <c r="AF194" i="8"/>
  <c r="AY193" i="8"/>
  <c r="AZ193" i="8"/>
  <c r="BE193" i="8"/>
  <c r="BF193" i="8"/>
  <c r="BL193" i="8"/>
  <c r="BT193" i="8" s="1"/>
  <c r="BN193" i="8"/>
  <c r="BM194" i="8"/>
  <c r="AE195" i="8"/>
  <c r="FR109" i="8"/>
  <c r="FM110" i="8" s="1"/>
  <c r="FZ109" i="8"/>
  <c r="FP109" i="8"/>
  <c r="EB105" i="8"/>
  <c r="DS106" i="8" s="1"/>
  <c r="ED105" i="8"/>
  <c r="EV126" i="8"/>
  <c r="EQ127" i="8" s="1"/>
  <c r="EO127" i="8" s="1"/>
  <c r="EW126" i="8"/>
  <c r="AQ88" i="8" l="1"/>
  <c r="AP88" i="8"/>
  <c r="AN91" i="8"/>
  <c r="BR193" i="8"/>
  <c r="BS193" i="8"/>
  <c r="BM195" i="8"/>
  <c r="AE196" i="8"/>
  <c r="BO193" i="8"/>
  <c r="BP193" i="8"/>
  <c r="BQ193" i="8" s="1"/>
  <c r="BZ193" i="8"/>
  <c r="AY194" i="8"/>
  <c r="AG194" i="8"/>
  <c r="AF195" i="8"/>
  <c r="AZ194" i="8"/>
  <c r="BE194" i="8"/>
  <c r="BN194" i="8"/>
  <c r="BF194" i="8"/>
  <c r="BL194" i="8"/>
  <c r="BT194" i="8" s="1"/>
  <c r="AT193" i="8"/>
  <c r="BY193" i="8"/>
  <c r="CB193" i="8" s="1"/>
  <c r="FQ109" i="8"/>
  <c r="FS109" i="8" s="1"/>
  <c r="GA110" i="8"/>
  <c r="GB110" i="8" s="1"/>
  <c r="FV109" i="8"/>
  <c r="FY109" i="8"/>
  <c r="EF106" i="8"/>
  <c r="EG106" i="8" s="1"/>
  <c r="DQ106" i="8"/>
  <c r="DT106" i="8"/>
  <c r="ER127" i="8"/>
  <c r="AU88" i="8" l="1"/>
  <c r="AJ89" i="8"/>
  <c r="AH89" i="8" s="1"/>
  <c r="AS88" i="8"/>
  <c r="BD88" i="8" s="1"/>
  <c r="AT194" i="8"/>
  <c r="BY194" i="8"/>
  <c r="CB194" i="8" s="1"/>
  <c r="BO194" i="8"/>
  <c r="BP194" i="8"/>
  <c r="BQ194" i="8" s="1"/>
  <c r="BZ194" i="8"/>
  <c r="BS194" i="8"/>
  <c r="BR194" i="8"/>
  <c r="BM196" i="8"/>
  <c r="AE197" i="8"/>
  <c r="AY195" i="8"/>
  <c r="BL195" i="8"/>
  <c r="BT195" i="8" s="1"/>
  <c r="AF196" i="8"/>
  <c r="AG195" i="8"/>
  <c r="AZ195" i="8"/>
  <c r="BE195" i="8"/>
  <c r="BF195" i="8"/>
  <c r="BN195" i="8"/>
  <c r="FT109" i="8"/>
  <c r="FU109" i="8"/>
  <c r="FW109" i="8" s="1"/>
  <c r="FN110" i="8" s="1"/>
  <c r="DU106" i="8"/>
  <c r="EE106" i="8"/>
  <c r="DW106" i="8"/>
  <c r="DR107" i="8" s="1"/>
  <c r="ES127" i="8"/>
  <c r="ET127" i="8" s="1"/>
  <c r="EU127" i="8" s="1"/>
  <c r="EP128" i="8"/>
  <c r="CA88" i="8" l="1"/>
  <c r="DB88" i="8"/>
  <c r="BP195" i="8"/>
  <c r="BQ195" i="8" s="1"/>
  <c r="BO195" i="8"/>
  <c r="BZ195" i="8"/>
  <c r="BS195" i="8"/>
  <c r="BR195" i="8"/>
  <c r="BM197" i="8"/>
  <c r="AE198" i="8"/>
  <c r="AY196" i="8"/>
  <c r="AF197" i="8"/>
  <c r="AG196" i="8"/>
  <c r="AZ196" i="8"/>
  <c r="BN196" i="8"/>
  <c r="BE196" i="8"/>
  <c r="BF196" i="8"/>
  <c r="BL196" i="8"/>
  <c r="BR196" i="8" s="1"/>
  <c r="BY195" i="8"/>
  <c r="CB195" i="8" s="1"/>
  <c r="AT195" i="8"/>
  <c r="GC110" i="8"/>
  <c r="GD110" i="8" s="1"/>
  <c r="FL110" i="8"/>
  <c r="FO110" i="8"/>
  <c r="FX110" i="8"/>
  <c r="DV106" i="8"/>
  <c r="DX106" i="8" s="1"/>
  <c r="EA106" i="8"/>
  <c r="EV127" i="8"/>
  <c r="EQ128" i="8" s="1"/>
  <c r="EO128" i="8" s="1"/>
  <c r="EW127" i="8"/>
  <c r="DC88" i="8" l="1"/>
  <c r="DE88" i="8"/>
  <c r="DF88" i="8"/>
  <c r="DD88" i="8" s="1"/>
  <c r="DG88" i="8" s="1"/>
  <c r="BV88" i="8"/>
  <c r="BY89" i="8" s="1"/>
  <c r="CB89" i="8" s="1"/>
  <c r="CC88" i="8"/>
  <c r="BU88" i="8"/>
  <c r="BW89" i="8" s="1"/>
  <c r="BX88" i="8"/>
  <c r="BT196" i="8"/>
  <c r="BY196" i="8" s="1"/>
  <c r="CB196" i="8" s="1"/>
  <c r="BS196" i="8"/>
  <c r="AT196" i="8"/>
  <c r="BO196" i="8"/>
  <c r="BP196" i="8"/>
  <c r="BQ196" i="8" s="1"/>
  <c r="BZ196" i="8"/>
  <c r="BN197" i="8"/>
  <c r="BL197" i="8"/>
  <c r="BT197" i="8" s="1"/>
  <c r="AG197" i="8"/>
  <c r="AF198" i="8"/>
  <c r="BF197" i="8"/>
  <c r="AY197" i="8"/>
  <c r="AZ197" i="8"/>
  <c r="BE197" i="8"/>
  <c r="BM198" i="8"/>
  <c r="AE199" i="8"/>
  <c r="BM199" i="8" s="1"/>
  <c r="AX91" i="8"/>
  <c r="FP110" i="8"/>
  <c r="FZ110" i="8"/>
  <c r="FR110" i="8"/>
  <c r="DZ106" i="8"/>
  <c r="ED106" i="8" s="1"/>
  <c r="DY106" i="8"/>
  <c r="ER128" i="8"/>
  <c r="CD88" i="8" l="1"/>
  <c r="CE88" i="8" s="1"/>
  <c r="CF88" i="8" s="1"/>
  <c r="CG88" i="8" s="1"/>
  <c r="CH88" i="8" s="1"/>
  <c r="CO88" i="8" s="1"/>
  <c r="AT197" i="8"/>
  <c r="AW92" i="8"/>
  <c r="BL198" i="8"/>
  <c r="BS198" i="8" s="1"/>
  <c r="BF198" i="8"/>
  <c r="BN198" i="8"/>
  <c r="BE198" i="8"/>
  <c r="AG198" i="8"/>
  <c r="AF199" i="8"/>
  <c r="AY198" i="8"/>
  <c r="AZ198" i="8"/>
  <c r="BR197" i="8"/>
  <c r="BS197" i="8"/>
  <c r="BO197" i="8"/>
  <c r="BP197" i="8"/>
  <c r="BQ197" i="8" s="1"/>
  <c r="BZ197" i="8"/>
  <c r="BY197" i="8"/>
  <c r="CB197" i="8" s="1"/>
  <c r="EB106" i="8"/>
  <c r="DS107" i="8" s="1"/>
  <c r="EF107" i="8" s="1"/>
  <c r="EG107" i="8" s="1"/>
  <c r="FM111" i="8"/>
  <c r="GA111" i="8"/>
  <c r="GB111" i="8" s="1"/>
  <c r="FY110" i="8"/>
  <c r="FV110" i="8"/>
  <c r="FQ110" i="8"/>
  <c r="FS110" i="8" s="1"/>
  <c r="EP129" i="8"/>
  <c r="ES128" i="8"/>
  <c r="ET128" i="8" s="1"/>
  <c r="EU128" i="8" s="1"/>
  <c r="CP88" i="8" l="1"/>
  <c r="CS88" i="8"/>
  <c r="CR88" i="8"/>
  <c r="BT198" i="8"/>
  <c r="BY198" i="8" s="1"/>
  <c r="CB198" i="8" s="1"/>
  <c r="BR198" i="8"/>
  <c r="BO198" i="8"/>
  <c r="BP198" i="8"/>
  <c r="BQ198" i="8" s="1"/>
  <c r="BZ198" i="8"/>
  <c r="BF199" i="8"/>
  <c r="BL199" i="8"/>
  <c r="BN199" i="8"/>
  <c r="AG199" i="8"/>
  <c r="AY199" i="8"/>
  <c r="BE199" i="8"/>
  <c r="AZ199" i="8"/>
  <c r="AT198" i="8"/>
  <c r="DQ107" i="8"/>
  <c r="DT107" i="8"/>
  <c r="DU107" i="8" s="1"/>
  <c r="FU110" i="8"/>
  <c r="FW110" i="8" s="1"/>
  <c r="FN111" i="8" s="1"/>
  <c r="FT110" i="8"/>
  <c r="EV128" i="8"/>
  <c r="EQ129" i="8" s="1"/>
  <c r="EO129" i="8" s="1"/>
  <c r="EW128" i="8"/>
  <c r="CQ88" i="8" l="1"/>
  <c r="CT88" i="8" s="1"/>
  <c r="BC88" i="8" s="1"/>
  <c r="BH88" i="8" s="1"/>
  <c r="BJ88" i="8" s="1"/>
  <c r="BA89" i="8"/>
  <c r="BB89" i="8"/>
  <c r="EE107" i="8"/>
  <c r="DW107" i="8"/>
  <c r="DR108" i="8" s="1"/>
  <c r="BT199" i="8"/>
  <c r="BY199" i="8" s="1"/>
  <c r="CB199" i="8" s="1"/>
  <c r="BS199" i="8"/>
  <c r="BR199" i="8"/>
  <c r="AT199" i="8"/>
  <c r="BO199" i="8"/>
  <c r="BP199" i="8"/>
  <c r="BQ199" i="8" s="1"/>
  <c r="BZ199" i="8"/>
  <c r="GC111" i="8"/>
  <c r="GD111" i="8" s="1"/>
  <c r="FL111" i="8"/>
  <c r="FX111" i="8"/>
  <c r="FO111" i="8"/>
  <c r="ER129" i="8"/>
  <c r="EP130" i="8" s="1"/>
  <c r="DV107" i="8"/>
  <c r="AI89" i="8" l="1"/>
  <c r="AK89" i="8" s="1"/>
  <c r="AV89" i="8" s="1"/>
  <c r="AC88" i="8"/>
  <c r="AB88" i="8"/>
  <c r="DX107" i="8"/>
  <c r="DY107" i="8" s="1"/>
  <c r="DB89" i="8"/>
  <c r="CA89" i="8"/>
  <c r="AN89" i="8"/>
  <c r="EA107" i="8"/>
  <c r="ES129" i="8"/>
  <c r="FP111" i="8"/>
  <c r="FQ111" i="8" s="1"/>
  <c r="FZ111" i="8"/>
  <c r="FR111" i="8"/>
  <c r="ET129" i="8"/>
  <c r="EU129" i="8" s="1"/>
  <c r="DZ107" i="8" l="1"/>
  <c r="ED107" i="8" s="1"/>
  <c r="AL89" i="8"/>
  <c r="BG89" i="8"/>
  <c r="AR89" i="8"/>
  <c r="CC89" i="8"/>
  <c r="BU89" i="8"/>
  <c r="BW90" i="8" s="1"/>
  <c r="BV89" i="8"/>
  <c r="BY90" i="8" s="1"/>
  <c r="CB90" i="8" s="1"/>
  <c r="BX89" i="8"/>
  <c r="DC89" i="8"/>
  <c r="DE89" i="8"/>
  <c r="DF89" i="8"/>
  <c r="EB107" i="8"/>
  <c r="DS108" i="8" s="1"/>
  <c r="DT108" i="8" s="1"/>
  <c r="FS111" i="8"/>
  <c r="GA112" i="8"/>
  <c r="GB112" i="8" s="1"/>
  <c r="FV111" i="8"/>
  <c r="FY111" i="8"/>
  <c r="FM112" i="8"/>
  <c r="EV129" i="8"/>
  <c r="EQ130" i="8" s="1"/>
  <c r="EW129" i="8"/>
  <c r="DD89" i="8" l="1"/>
  <c r="DG89" i="8" s="1"/>
  <c r="AM89" i="8"/>
  <c r="AO89" i="8" s="1"/>
  <c r="BI89" i="8"/>
  <c r="CD89" i="8"/>
  <c r="CE89" i="8" s="1"/>
  <c r="CF89" i="8" s="1"/>
  <c r="CG89" i="8" s="1"/>
  <c r="CH89" i="8" s="1"/>
  <c r="CO89" i="8" s="1"/>
  <c r="AN92" i="8"/>
  <c r="DQ108" i="8"/>
  <c r="EF108" i="8"/>
  <c r="EG108" i="8" s="1"/>
  <c r="FT111" i="8"/>
  <c r="FU111" i="8"/>
  <c r="FW111" i="8" s="1"/>
  <c r="FN112" i="8" s="1"/>
  <c r="EE108" i="8"/>
  <c r="DW108" i="8"/>
  <c r="EA108" i="8" s="1"/>
  <c r="DU108" i="8"/>
  <c r="EO130" i="8"/>
  <c r="ER130" i="8"/>
  <c r="AQ89" i="8" l="1"/>
  <c r="AJ90" i="8" s="1"/>
  <c r="AH90" i="8" s="1"/>
  <c r="AP89" i="8"/>
  <c r="AR90" i="8"/>
  <c r="CP89" i="8"/>
  <c r="CS89" i="8"/>
  <c r="CR89" i="8"/>
  <c r="AX92" i="8"/>
  <c r="GC112" i="8"/>
  <c r="GD112" i="8" s="1"/>
  <c r="FL112" i="8"/>
  <c r="FX112" i="8"/>
  <c r="FO112" i="8"/>
  <c r="DR109" i="8"/>
  <c r="DV108" i="8"/>
  <c r="DX108" i="8" s="1"/>
  <c r="EP131" i="8"/>
  <c r="ES130" i="8"/>
  <c r="ET130" i="8" s="1"/>
  <c r="EU130" i="8" s="1"/>
  <c r="AU89" i="8" l="1"/>
  <c r="AS89" i="8"/>
  <c r="CQ89" i="8"/>
  <c r="CT89" i="8" s="1"/>
  <c r="BC89" i="8" s="1"/>
  <c r="BH89" i="8" s="1"/>
  <c r="BJ89" i="8" s="1"/>
  <c r="AI90" i="8" s="1"/>
  <c r="AK90" i="8" s="1"/>
  <c r="BA90" i="8"/>
  <c r="BB90" i="8"/>
  <c r="FZ112" i="8"/>
  <c r="FR112" i="8"/>
  <c r="FP112" i="8"/>
  <c r="DZ108" i="8"/>
  <c r="DY108" i="8"/>
  <c r="EV130" i="8"/>
  <c r="EQ131" i="8" s="1"/>
  <c r="EO131" i="8" s="1"/>
  <c r="EW130" i="8"/>
  <c r="AB89" i="8" l="1"/>
  <c r="AC89" i="8"/>
  <c r="AL90" i="8"/>
  <c r="AV90" i="8"/>
  <c r="DB90" i="8"/>
  <c r="CA90" i="8"/>
  <c r="AW93" i="8"/>
  <c r="FQ112" i="8"/>
  <c r="FS112" i="8" s="1"/>
  <c r="FM113" i="8"/>
  <c r="GA113" i="8"/>
  <c r="GB113" i="8" s="1"/>
  <c r="FV112" i="8"/>
  <c r="FY112" i="8"/>
  <c r="ER131" i="8"/>
  <c r="EP132" i="8" s="1"/>
  <c r="EB108" i="8"/>
  <c r="DS109" i="8" s="1"/>
  <c r="ED108" i="8"/>
  <c r="DC90" i="8" l="1"/>
  <c r="DF90" i="8"/>
  <c r="DE90" i="8"/>
  <c r="BU90" i="8"/>
  <c r="BW91" i="8" s="1"/>
  <c r="BV90" i="8"/>
  <c r="BY91" i="8" s="1"/>
  <c r="CB91" i="8" s="1"/>
  <c r="CC90" i="8"/>
  <c r="BX90" i="8"/>
  <c r="AM90" i="8"/>
  <c r="AO90" i="8" s="1"/>
  <c r="BG90" i="8"/>
  <c r="BI90" i="8"/>
  <c r="ES131" i="8"/>
  <c r="ET131" i="8" s="1"/>
  <c r="EU131" i="8" s="1"/>
  <c r="EV131" i="8" s="1"/>
  <c r="EQ132" i="8" s="1"/>
  <c r="EO132" i="8" s="1"/>
  <c r="FU112" i="8"/>
  <c r="FW112" i="8" s="1"/>
  <c r="FN113" i="8" s="1"/>
  <c r="FT112" i="8"/>
  <c r="DT109" i="8"/>
  <c r="EF109" i="8"/>
  <c r="EG109" i="8" s="1"/>
  <c r="DQ109" i="8"/>
  <c r="DD90" i="8" l="1"/>
  <c r="DG90" i="8" s="1"/>
  <c r="AQ90" i="8"/>
  <c r="AR91" i="8"/>
  <c r="AP90" i="8"/>
  <c r="CD90" i="8"/>
  <c r="CE90" i="8" s="1"/>
  <c r="CF90" i="8" s="1"/>
  <c r="CG90" i="8" s="1"/>
  <c r="CH90" i="8" s="1"/>
  <c r="CO90" i="8" s="1"/>
  <c r="EW131" i="8"/>
  <c r="ER132" i="8"/>
  <c r="ES132" i="8" s="1"/>
  <c r="ET132" i="8" s="1"/>
  <c r="EU132" i="8" s="1"/>
  <c r="FO113" i="8"/>
  <c r="GC113" i="8"/>
  <c r="GD113" i="8" s="1"/>
  <c r="FL113" i="8"/>
  <c r="FX113" i="8"/>
  <c r="EE109" i="8"/>
  <c r="DU109" i="8"/>
  <c r="DW109" i="8"/>
  <c r="DR110" i="8" s="1"/>
  <c r="CS90" i="8" l="1"/>
  <c r="CP90" i="8"/>
  <c r="CR90" i="8"/>
  <c r="AJ91" i="8"/>
  <c r="AH91" i="8" s="1"/>
  <c r="AS90" i="8"/>
  <c r="AU90" i="8"/>
  <c r="EP133" i="8"/>
  <c r="FR113" i="8"/>
  <c r="FP113" i="8"/>
  <c r="FZ113" i="8"/>
  <c r="EA109" i="8"/>
  <c r="DV109" i="8"/>
  <c r="DX109" i="8" s="1"/>
  <c r="EV132" i="8"/>
  <c r="EQ133" i="8" s="1"/>
  <c r="EO133" i="8" s="1"/>
  <c r="EW132" i="8"/>
  <c r="CQ90" i="8" l="1"/>
  <c r="CT90" i="8" s="1"/>
  <c r="BC90" i="8" s="1"/>
  <c r="BH90" i="8" s="1"/>
  <c r="BJ90" i="8" s="1"/>
  <c r="BG91" i="8"/>
  <c r="BA91" i="8"/>
  <c r="BB91" i="8"/>
  <c r="AN93" i="8"/>
  <c r="FQ113" i="8"/>
  <c r="FS113" i="8" s="1"/>
  <c r="FM114" i="8"/>
  <c r="GA114" i="8"/>
  <c r="GB114" i="8" s="1"/>
  <c r="FV113" i="8"/>
  <c r="FY113" i="8"/>
  <c r="DZ109" i="8"/>
  <c r="ED109" i="8" s="1"/>
  <c r="DY109" i="8"/>
  <c r="ER133" i="8"/>
  <c r="AI91" i="8" l="1"/>
  <c r="AK91" i="8" s="1"/>
  <c r="AL91" i="8" s="1"/>
  <c r="AC90" i="8"/>
  <c r="AB90" i="8"/>
  <c r="EB109" i="8"/>
  <c r="DS110" i="8" s="1"/>
  <c r="EF110" i="8" s="1"/>
  <c r="EG110" i="8" s="1"/>
  <c r="FU113" i="8"/>
  <c r="FW113" i="8" s="1"/>
  <c r="FN114" i="8" s="1"/>
  <c r="FT113" i="8"/>
  <c r="EP134" i="8"/>
  <c r="ES133" i="8"/>
  <c r="AV91" i="8" l="1"/>
  <c r="BI91" i="8"/>
  <c r="AM91" i="8"/>
  <c r="AO91" i="8" s="1"/>
  <c r="BD93" i="8"/>
  <c r="AW94" i="8"/>
  <c r="AX93" i="8"/>
  <c r="DT110" i="8"/>
  <c r="DW110" i="8" s="1"/>
  <c r="DR111" i="8" s="1"/>
  <c r="DQ110" i="8"/>
  <c r="GC114" i="8"/>
  <c r="GD114" i="8" s="1"/>
  <c r="FL114" i="8"/>
  <c r="FX114" i="8"/>
  <c r="FO114" i="8"/>
  <c r="ET133" i="8"/>
  <c r="EU133" i="8" s="1"/>
  <c r="EE110" i="8" l="1"/>
  <c r="AQ91" i="8"/>
  <c r="AR92" i="8"/>
  <c r="AP91" i="8"/>
  <c r="DU110" i="8"/>
  <c r="FR114" i="8"/>
  <c r="FM115" i="8" s="1"/>
  <c r="FP114" i="8"/>
  <c r="FZ114" i="8"/>
  <c r="EA110" i="8"/>
  <c r="DV110" i="8"/>
  <c r="DX110" i="8" s="1"/>
  <c r="EV133" i="8"/>
  <c r="EQ134" i="8" s="1"/>
  <c r="EW133" i="8"/>
  <c r="AJ92" i="8" l="1"/>
  <c r="AH92" i="8" s="1"/>
  <c r="AS91" i="8"/>
  <c r="BD91" i="8" s="1"/>
  <c r="AU91" i="8"/>
  <c r="FQ114" i="8"/>
  <c r="FS114" i="8" s="1"/>
  <c r="GA115" i="8"/>
  <c r="GB115" i="8" s="1"/>
  <c r="FY114" i="8"/>
  <c r="FV114" i="8"/>
  <c r="DZ110" i="8"/>
  <c r="EB110" i="8" s="1"/>
  <c r="DS111" i="8" s="1"/>
  <c r="DY110" i="8"/>
  <c r="EO134" i="8"/>
  <c r="ER134" i="8"/>
  <c r="DB91" i="8" l="1"/>
  <c r="CA91" i="8"/>
  <c r="FU114" i="8"/>
  <c r="FW114" i="8" s="1"/>
  <c r="FN115" i="8" s="1"/>
  <c r="FX115" i="8" s="1"/>
  <c r="FT114" i="8"/>
  <c r="ED110" i="8"/>
  <c r="EF111" i="8"/>
  <c r="EG111" i="8" s="1"/>
  <c r="DQ111" i="8"/>
  <c r="DT111" i="8"/>
  <c r="ES134" i="8"/>
  <c r="ET134" i="8" s="1"/>
  <c r="EU134" i="8" s="1"/>
  <c r="EP135" i="8"/>
  <c r="BV91" i="8" l="1"/>
  <c r="BY92" i="8" s="1"/>
  <c r="CB92" i="8" s="1"/>
  <c r="BU91" i="8"/>
  <c r="BW92" i="8" s="1"/>
  <c r="CC91" i="8"/>
  <c r="BX91" i="8"/>
  <c r="DC91" i="8"/>
  <c r="DE91" i="8"/>
  <c r="DF91" i="8"/>
  <c r="DD91" i="8" s="1"/>
  <c r="DG91" i="8" s="1"/>
  <c r="GC115" i="8"/>
  <c r="GD115" i="8" s="1"/>
  <c r="FL115" i="8"/>
  <c r="FO115" i="8"/>
  <c r="DU111" i="8"/>
  <c r="EE111" i="8"/>
  <c r="DW111" i="8"/>
  <c r="DR112" i="8" s="1"/>
  <c r="EV134" i="8"/>
  <c r="EQ135" i="8" s="1"/>
  <c r="EO135" i="8" s="1"/>
  <c r="EW134" i="8"/>
  <c r="CD91" i="8" l="1"/>
  <c r="CE91" i="8" s="1"/>
  <c r="CF91" i="8" s="1"/>
  <c r="CG91" i="8" s="1"/>
  <c r="CH91" i="8" s="1"/>
  <c r="CO91" i="8" s="1"/>
  <c r="AN94" i="8"/>
  <c r="AX94" i="8"/>
  <c r="FZ115" i="8"/>
  <c r="FR115" i="8"/>
  <c r="FM116" i="8" s="1"/>
  <c r="FP115" i="8"/>
  <c r="ER135" i="8"/>
  <c r="ES135" i="8" s="1"/>
  <c r="ET135" i="8" s="1"/>
  <c r="EU135" i="8" s="1"/>
  <c r="EV135" i="8" s="1"/>
  <c r="EQ136" i="8" s="1"/>
  <c r="EO136" i="8" s="1"/>
  <c r="EA111" i="8"/>
  <c r="DV111" i="8"/>
  <c r="DX111" i="8" s="1"/>
  <c r="CS91" i="8" l="1"/>
  <c r="CP91" i="8"/>
  <c r="CR91" i="8"/>
  <c r="EP136" i="8"/>
  <c r="ER136" i="8" s="1"/>
  <c r="FQ115" i="8"/>
  <c r="FS115" i="8" s="1"/>
  <c r="GA116" i="8"/>
  <c r="GB116" i="8" s="1"/>
  <c r="FY115" i="8"/>
  <c r="FV115" i="8"/>
  <c r="DZ111" i="8"/>
  <c r="ED111" i="8" s="1"/>
  <c r="DY111" i="8"/>
  <c r="EW135" i="8"/>
  <c r="CQ91" i="8" l="1"/>
  <c r="CT91" i="8" s="1"/>
  <c r="BC91" i="8" s="1"/>
  <c r="BH91" i="8" s="1"/>
  <c r="BJ91" i="8" s="1"/>
  <c r="AI92" i="8" s="1"/>
  <c r="AK92" i="8" s="1"/>
  <c r="BA92" i="8"/>
  <c r="BB92" i="8"/>
  <c r="EB111" i="8"/>
  <c r="DS112" i="8" s="1"/>
  <c r="EF112" i="8" s="1"/>
  <c r="EG112" i="8" s="1"/>
  <c r="FU115" i="8"/>
  <c r="FW115" i="8" s="1"/>
  <c r="FN116" i="8" s="1"/>
  <c r="FT115" i="8"/>
  <c r="EP137" i="8"/>
  <c r="ES136" i="8"/>
  <c r="ET136" i="8" s="1"/>
  <c r="EU136" i="8" s="1"/>
  <c r="EV136" i="8" s="1"/>
  <c r="EQ137" i="8" s="1"/>
  <c r="EO137" i="8" s="1"/>
  <c r="AC91" i="8" l="1"/>
  <c r="AB91" i="8"/>
  <c r="AV92" i="8"/>
  <c r="AL92" i="8"/>
  <c r="DQ112" i="8"/>
  <c r="DT112" i="8"/>
  <c r="DU112" i="8" s="1"/>
  <c r="GC116" i="8"/>
  <c r="GD116" i="8" s="1"/>
  <c r="FL116" i="8"/>
  <c r="FO116" i="8"/>
  <c r="FX116" i="8"/>
  <c r="EW136" i="8"/>
  <c r="ER137" i="8"/>
  <c r="BG92" i="8" l="1"/>
  <c r="BI92" i="8"/>
  <c r="AM92" i="8"/>
  <c r="AO92" i="8" s="1"/>
  <c r="AW95" i="8"/>
  <c r="EE112" i="8"/>
  <c r="DW112" i="8"/>
  <c r="DR113" i="8" s="1"/>
  <c r="FP116" i="8"/>
  <c r="FZ116" i="8"/>
  <c r="FR116" i="8"/>
  <c r="FM117" i="8" s="1"/>
  <c r="EA112" i="8"/>
  <c r="DV112" i="8"/>
  <c r="DX112" i="8" s="1"/>
  <c r="EP138" i="8"/>
  <c r="ES137" i="8"/>
  <c r="ET137" i="8" s="1"/>
  <c r="EU137" i="8" s="1"/>
  <c r="EV137" i="8" s="1"/>
  <c r="EQ138" i="8" s="1"/>
  <c r="EO138" i="8" s="1"/>
  <c r="AQ92" i="8" l="1"/>
  <c r="AR93" i="8"/>
  <c r="AP92" i="8"/>
  <c r="GA117" i="8"/>
  <c r="GB117" i="8" s="1"/>
  <c r="FV116" i="8"/>
  <c r="FY116" i="8"/>
  <c r="FQ116" i="8"/>
  <c r="FS116" i="8" s="1"/>
  <c r="DZ112" i="8"/>
  <c r="ED112" i="8" s="1"/>
  <c r="DY112" i="8"/>
  <c r="EW137" i="8"/>
  <c r="ER138" i="8"/>
  <c r="AU92" i="8" l="1"/>
  <c r="AJ93" i="8"/>
  <c r="AH93" i="8" s="1"/>
  <c r="AS92" i="8"/>
  <c r="BD92" i="8" s="1"/>
  <c r="EB112" i="8"/>
  <c r="DS113" i="8" s="1"/>
  <c r="EF113" i="8" s="1"/>
  <c r="EG113" i="8" s="1"/>
  <c r="FU116" i="8"/>
  <c r="FW116" i="8" s="1"/>
  <c r="FN117" i="8" s="1"/>
  <c r="FT116" i="8"/>
  <c r="EP139" i="8"/>
  <c r="ES138" i="8"/>
  <c r="ET138" i="8" s="1"/>
  <c r="EU138" i="8" s="1"/>
  <c r="EV138" i="8" s="1"/>
  <c r="EQ139" i="8" s="1"/>
  <c r="EO139" i="8" s="1"/>
  <c r="DB92" i="8" l="1"/>
  <c r="CA92" i="8"/>
  <c r="DT113" i="8"/>
  <c r="DW113" i="8" s="1"/>
  <c r="EA113" i="8" s="1"/>
  <c r="DQ113" i="8"/>
  <c r="GC117" i="8"/>
  <c r="GD117" i="8" s="1"/>
  <c r="FL117" i="8"/>
  <c r="FO117" i="8"/>
  <c r="FX117" i="8"/>
  <c r="DU113" i="8"/>
  <c r="EE113" i="8"/>
  <c r="ER139" i="8"/>
  <c r="EW138" i="8"/>
  <c r="DE92" i="8" l="1"/>
  <c r="DC92" i="8"/>
  <c r="DF92" i="8"/>
  <c r="DD92" i="8" s="1"/>
  <c r="DG92" i="8" s="1"/>
  <c r="BU92" i="8"/>
  <c r="BW93" i="8" s="1"/>
  <c r="CC92" i="8"/>
  <c r="BV92" i="8"/>
  <c r="BY93" i="8" s="1"/>
  <c r="CB93" i="8" s="1"/>
  <c r="BX92" i="8"/>
  <c r="DR114" i="8"/>
  <c r="FP117" i="8"/>
  <c r="FZ117" i="8"/>
  <c r="FR117" i="8"/>
  <c r="DV113" i="8"/>
  <c r="DX113" i="8" s="1"/>
  <c r="EP140" i="8"/>
  <c r="ES139" i="8"/>
  <c r="ET139" i="8" s="1"/>
  <c r="EU139" i="8" s="1"/>
  <c r="EV139" i="8" s="1"/>
  <c r="EQ140" i="8" s="1"/>
  <c r="EO140" i="8" s="1"/>
  <c r="CD92" i="8" l="1"/>
  <c r="CE92" i="8" s="1"/>
  <c r="CF92" i="8" s="1"/>
  <c r="CG92" i="8"/>
  <c r="CH92" i="8" s="1"/>
  <c r="CO92" i="8" s="1"/>
  <c r="FM118" i="8"/>
  <c r="GA118" i="8"/>
  <c r="GB118" i="8" s="1"/>
  <c r="FY117" i="8"/>
  <c r="FV117" i="8"/>
  <c r="FQ117" i="8"/>
  <c r="FS117" i="8" s="1"/>
  <c r="DZ113" i="8"/>
  <c r="DY113" i="8"/>
  <c r="ER140" i="8"/>
  <c r="EW139" i="8"/>
  <c r="CR92" i="8" l="1"/>
  <c r="CP92" i="8"/>
  <c r="CS92" i="8"/>
  <c r="FU117" i="8"/>
  <c r="FW117" i="8" s="1"/>
  <c r="FN118" i="8" s="1"/>
  <c r="FT117" i="8"/>
  <c r="EB113" i="8"/>
  <c r="DS114" i="8" s="1"/>
  <c r="ED113" i="8"/>
  <c r="ES140" i="8"/>
  <c r="ET140" i="8" s="1"/>
  <c r="EU140" i="8" s="1"/>
  <c r="EV140" i="8" s="1"/>
  <c r="EQ141" i="8" s="1"/>
  <c r="EO141" i="8" s="1"/>
  <c r="EP141" i="8"/>
  <c r="CQ92" i="8" l="1"/>
  <c r="CT92" i="8" s="1"/>
  <c r="BC92" i="8" s="1"/>
  <c r="BH92" i="8" s="1"/>
  <c r="BJ92" i="8" s="1"/>
  <c r="AI93" i="8" s="1"/>
  <c r="AK93" i="8" s="1"/>
  <c r="BA93" i="8"/>
  <c r="BB93" i="8"/>
  <c r="FO118" i="8"/>
  <c r="GC118" i="8"/>
  <c r="GD118" i="8" s="1"/>
  <c r="FL118" i="8"/>
  <c r="FX118" i="8"/>
  <c r="EF114" i="8"/>
  <c r="EG114" i="8" s="1"/>
  <c r="DQ114" i="8"/>
  <c r="DT114" i="8"/>
  <c r="ER141" i="8"/>
  <c r="EW140" i="8"/>
  <c r="AC92" i="8" l="1"/>
  <c r="AB92" i="8"/>
  <c r="CA93" i="8"/>
  <c r="DB93" i="8"/>
  <c r="AV93" i="8"/>
  <c r="AL93" i="8"/>
  <c r="FZ118" i="8"/>
  <c r="FP118" i="8"/>
  <c r="FR118" i="8"/>
  <c r="FM119" i="8" s="1"/>
  <c r="DU114" i="8"/>
  <c r="EE114" i="8"/>
  <c r="DW114" i="8"/>
  <c r="DR115" i="8" s="1"/>
  <c r="ES141" i="8"/>
  <c r="ET141" i="8" s="1"/>
  <c r="EU141" i="8" s="1"/>
  <c r="EV141" i="8" s="1"/>
  <c r="EQ142" i="8" s="1"/>
  <c r="EO142" i="8" s="1"/>
  <c r="EP142" i="8"/>
  <c r="BG93" i="8" l="1"/>
  <c r="BI93" i="8"/>
  <c r="AM93" i="8"/>
  <c r="AO93" i="8" s="1"/>
  <c r="DE93" i="8"/>
  <c r="DF93" i="8"/>
  <c r="DC93" i="8"/>
  <c r="BV93" i="8"/>
  <c r="BY94" i="8" s="1"/>
  <c r="CB94" i="8" s="1"/>
  <c r="BU93" i="8"/>
  <c r="CC93" i="8"/>
  <c r="BX93" i="8"/>
  <c r="GA119" i="8"/>
  <c r="GB119" i="8" s="1"/>
  <c r="FV118" i="8"/>
  <c r="FY118" i="8"/>
  <c r="FQ118" i="8"/>
  <c r="FS118" i="8" s="1"/>
  <c r="EA114" i="8"/>
  <c r="DV114" i="8"/>
  <c r="DX114" i="8" s="1"/>
  <c r="EW141" i="8"/>
  <c r="ER142" i="8"/>
  <c r="DD93" i="8" l="1"/>
  <c r="DG93" i="8" s="1"/>
  <c r="CD93" i="8"/>
  <c r="CE93" i="8" s="1"/>
  <c r="CF93" i="8" s="1"/>
  <c r="CG93" i="8" s="1"/>
  <c r="CH93" i="8" s="1"/>
  <c r="CO93" i="8" s="1"/>
  <c r="AQ93" i="8"/>
  <c r="AR94" i="8"/>
  <c r="AP93" i="8"/>
  <c r="FU118" i="8"/>
  <c r="FW118" i="8" s="1"/>
  <c r="FN119" i="8" s="1"/>
  <c r="FT118" i="8"/>
  <c r="DZ114" i="8"/>
  <c r="EB114" i="8" s="1"/>
  <c r="DS115" i="8" s="1"/>
  <c r="DY114" i="8"/>
  <c r="EP143" i="8"/>
  <c r="ES142" i="8"/>
  <c r="ET142" i="8" s="1"/>
  <c r="EU142" i="8" s="1"/>
  <c r="EV142" i="8" s="1"/>
  <c r="EQ143" i="8" s="1"/>
  <c r="EO143" i="8" s="1"/>
  <c r="CS93" i="8" l="1"/>
  <c r="CP93" i="8"/>
  <c r="CR93" i="8"/>
  <c r="AU93" i="8"/>
  <c r="AJ94" i="8"/>
  <c r="AH94" i="8" s="1"/>
  <c r="AS93" i="8"/>
  <c r="ED114" i="8"/>
  <c r="GC119" i="8"/>
  <c r="GD119" i="8" s="1"/>
  <c r="FL119" i="8"/>
  <c r="FO119" i="8"/>
  <c r="FX119" i="8"/>
  <c r="EW142" i="8"/>
  <c r="EF115" i="8"/>
  <c r="EG115" i="8" s="1"/>
  <c r="DQ115" i="8"/>
  <c r="DT115" i="8"/>
  <c r="ER143" i="8"/>
  <c r="CQ93" i="8" l="1"/>
  <c r="CT93" i="8" s="1"/>
  <c r="BC93" i="8" s="1"/>
  <c r="BH93" i="8" s="1"/>
  <c r="BJ93" i="8" s="1"/>
  <c r="FP119" i="8"/>
  <c r="FQ119" i="8" s="1"/>
  <c r="FZ119" i="8"/>
  <c r="FR119" i="8"/>
  <c r="FM120" i="8" s="1"/>
  <c r="EE115" i="8"/>
  <c r="DU115" i="8"/>
  <c r="DW115" i="8"/>
  <c r="ES143" i="8"/>
  <c r="ET143" i="8" s="1"/>
  <c r="EU143" i="8" s="1"/>
  <c r="EP144" i="8"/>
  <c r="AI94" i="8" l="1"/>
  <c r="AK94" i="8" s="1"/>
  <c r="AB93" i="8"/>
  <c r="AC93" i="8"/>
  <c r="BA94" i="8"/>
  <c r="BB94" i="8"/>
  <c r="GA120" i="8"/>
  <c r="GB120" i="8" s="1"/>
  <c r="FY119" i="8"/>
  <c r="FV119" i="8"/>
  <c r="FS119" i="8"/>
  <c r="DR116" i="8"/>
  <c r="EA115" i="8"/>
  <c r="DV115" i="8"/>
  <c r="DX115" i="8" s="1"/>
  <c r="EV143" i="8"/>
  <c r="EQ144" i="8" s="1"/>
  <c r="EO144" i="8" s="1"/>
  <c r="EW143" i="8"/>
  <c r="AL94" i="8" l="1"/>
  <c r="AV94" i="8"/>
  <c r="FU119" i="8"/>
  <c r="FW119" i="8" s="1"/>
  <c r="FN120" i="8" s="1"/>
  <c r="FT119" i="8"/>
  <c r="DZ115" i="8"/>
  <c r="ED115" i="8" s="1"/>
  <c r="DY115" i="8"/>
  <c r="ER144" i="8"/>
  <c r="BG94" i="8" l="1"/>
  <c r="BI94" i="8"/>
  <c r="AM94" i="8"/>
  <c r="AO94" i="8" s="1"/>
  <c r="EB115" i="8"/>
  <c r="DS116" i="8" s="1"/>
  <c r="DT116" i="8" s="1"/>
  <c r="EE116" i="8" s="1"/>
  <c r="GC120" i="8"/>
  <c r="GD120" i="8" s="1"/>
  <c r="FL120" i="8"/>
  <c r="FO120" i="8"/>
  <c r="FX120" i="8"/>
  <c r="EP145" i="8"/>
  <c r="ES144" i="8"/>
  <c r="ET144" i="8" s="1"/>
  <c r="EU144" i="8" s="1"/>
  <c r="AQ94" i="8" l="1"/>
  <c r="AP94" i="8"/>
  <c r="EF116" i="8"/>
  <c r="EG116" i="8" s="1"/>
  <c r="DU116" i="8"/>
  <c r="DV116" i="8" s="1"/>
  <c r="DW116" i="8"/>
  <c r="DR117" i="8" s="1"/>
  <c r="DQ116" i="8"/>
  <c r="FP120" i="8"/>
  <c r="FR120" i="8"/>
  <c r="FZ120" i="8"/>
  <c r="EV144" i="8"/>
  <c r="EQ145" i="8" s="1"/>
  <c r="EO145" i="8" s="1"/>
  <c r="EW144" i="8"/>
  <c r="AJ95" i="8" l="1"/>
  <c r="AH95" i="8" s="1"/>
  <c r="AS94" i="8"/>
  <c r="BD94" i="8" s="1"/>
  <c r="AU94" i="8"/>
  <c r="DX116" i="8"/>
  <c r="DY116" i="8" s="1"/>
  <c r="EA116" i="8"/>
  <c r="FM121" i="8"/>
  <c r="GA121" i="8"/>
  <c r="GB121" i="8" s="1"/>
  <c r="FY120" i="8"/>
  <c r="FV120" i="8"/>
  <c r="FQ120" i="8"/>
  <c r="FS120" i="8" s="1"/>
  <c r="ER145" i="8"/>
  <c r="DB94" i="8" l="1"/>
  <c r="CA94" i="8"/>
  <c r="DZ116" i="8"/>
  <c r="FT120" i="8"/>
  <c r="FU120" i="8"/>
  <c r="FW120" i="8" s="1"/>
  <c r="FN121" i="8" s="1"/>
  <c r="FO121" i="8" s="1"/>
  <c r="ED116" i="8"/>
  <c r="EB116" i="8"/>
  <c r="DS117" i="8" s="1"/>
  <c r="EP146" i="8"/>
  <c r="ES145" i="8"/>
  <c r="ET145" i="8" s="1"/>
  <c r="EU145" i="8" s="1"/>
  <c r="BU94" i="8" l="1"/>
  <c r="CC94" i="8"/>
  <c r="BV94" i="8"/>
  <c r="BX94" i="8"/>
  <c r="CD94" i="8" s="1"/>
  <c r="CE94" i="8" s="1"/>
  <c r="CF94" i="8" s="1"/>
  <c r="DC94" i="8"/>
  <c r="DE94" i="8"/>
  <c r="DF94" i="8"/>
  <c r="FZ121" i="8"/>
  <c r="FR121" i="8"/>
  <c r="FM122" i="8" s="1"/>
  <c r="FP121" i="8"/>
  <c r="GC121" i="8"/>
  <c r="GD121" i="8" s="1"/>
  <c r="FL121" i="8"/>
  <c r="FX121" i="8"/>
  <c r="EF117" i="8"/>
  <c r="EG117" i="8" s="1"/>
  <c r="DQ117" i="8"/>
  <c r="DT117" i="8"/>
  <c r="EV145" i="8"/>
  <c r="EQ146" i="8" s="1"/>
  <c r="EO146" i="8" s="1"/>
  <c r="EW145" i="8"/>
  <c r="DD94" i="8" l="1"/>
  <c r="DG94" i="8" s="1"/>
  <c r="BW94" i="8"/>
  <c r="BY95" i="8" s="1"/>
  <c r="FQ121" i="8"/>
  <c r="FS121" i="8" s="1"/>
  <c r="GA122" i="8"/>
  <c r="GB122" i="8" s="1"/>
  <c r="FY121" i="8"/>
  <c r="FV121" i="8"/>
  <c r="DW117" i="8"/>
  <c r="DR118" i="8" s="1"/>
  <c r="DU117" i="8"/>
  <c r="EE117" i="8"/>
  <c r="ER146" i="8"/>
  <c r="ES146" i="8" s="1"/>
  <c r="ET146" i="8" s="1"/>
  <c r="EU146" i="8" s="1"/>
  <c r="EV146" i="8" s="1"/>
  <c r="EQ147" i="8" s="1"/>
  <c r="EO147" i="8" s="1"/>
  <c r="FU121" i="8" l="1"/>
  <c r="FW121" i="8" s="1"/>
  <c r="FN122" i="8" s="1"/>
  <c r="FT121" i="8"/>
  <c r="EP147" i="8"/>
  <c r="DV117" i="8"/>
  <c r="DX117" i="8" s="1"/>
  <c r="EA117" i="8"/>
  <c r="EW146" i="8"/>
  <c r="ER147" i="8"/>
  <c r="ES147" i="8" s="1"/>
  <c r="ET147" i="8" s="1"/>
  <c r="EU147" i="8" s="1"/>
  <c r="EV147" i="8" s="1"/>
  <c r="EQ148" i="8" s="1"/>
  <c r="EO148" i="8" s="1"/>
  <c r="GC122" i="8" l="1"/>
  <c r="GD122" i="8" s="1"/>
  <c r="FL122" i="8"/>
  <c r="FO122" i="8"/>
  <c r="FX122" i="8"/>
  <c r="EP148" i="8"/>
  <c r="DZ117" i="8"/>
  <c r="ED117" i="8" s="1"/>
  <c r="DY117" i="8"/>
  <c r="EW147" i="8"/>
  <c r="ER148" i="8"/>
  <c r="FR122" i="8" l="1"/>
  <c r="FM123" i="8" s="1"/>
  <c r="FP122" i="8"/>
  <c r="FQ122" i="8" s="1"/>
  <c r="FZ122" i="8"/>
  <c r="EB117" i="8"/>
  <c r="DS118" i="8" s="1"/>
  <c r="EP149" i="8"/>
  <c r="ES148" i="8"/>
  <c r="ET148" i="8" s="1"/>
  <c r="EU148" i="8" s="1"/>
  <c r="FS122" i="8" l="1"/>
  <c r="FT122" i="8" s="1"/>
  <c r="GA123" i="8"/>
  <c r="GB123" i="8" s="1"/>
  <c r="FV122" i="8"/>
  <c r="FY122" i="8"/>
  <c r="EF118" i="8"/>
  <c r="EG118" i="8" s="1"/>
  <c r="DQ118" i="8"/>
  <c r="DT118" i="8"/>
  <c r="EV148" i="8"/>
  <c r="EQ149" i="8" s="1"/>
  <c r="EO149" i="8" s="1"/>
  <c r="EW148" i="8"/>
  <c r="FU122" i="8" l="1"/>
  <c r="FW122" i="8" s="1"/>
  <c r="FN123" i="8" s="1"/>
  <c r="DW118" i="8"/>
  <c r="DR119" i="8" s="1"/>
  <c r="EE118" i="8"/>
  <c r="DU118" i="8"/>
  <c r="ER149" i="8"/>
  <c r="GC123" i="8" l="1"/>
  <c r="GD123" i="8" s="1"/>
  <c r="FL123" i="8"/>
  <c r="FO123" i="8"/>
  <c r="FX123" i="8"/>
  <c r="DV118" i="8"/>
  <c r="DX118" i="8" s="1"/>
  <c r="EA118" i="8"/>
  <c r="EP150" i="8"/>
  <c r="ES149" i="8"/>
  <c r="ET149" i="8" s="1"/>
  <c r="EU149" i="8" s="1"/>
  <c r="FP123" i="8" l="1"/>
  <c r="FR123" i="8"/>
  <c r="FZ123" i="8"/>
  <c r="DZ118" i="8"/>
  <c r="DY118" i="8"/>
  <c r="EV149" i="8"/>
  <c r="EQ150" i="8" s="1"/>
  <c r="EO150" i="8" s="1"/>
  <c r="EW149" i="8"/>
  <c r="FM124" i="8" l="1"/>
  <c r="GA124" i="8"/>
  <c r="GB124" i="8" s="1"/>
  <c r="FV123" i="8"/>
  <c r="FY123" i="8"/>
  <c r="FQ123" i="8"/>
  <c r="FS123" i="8" s="1"/>
  <c r="ED118" i="8"/>
  <c r="EB118" i="8"/>
  <c r="DS119" i="8" s="1"/>
  <c r="ER150" i="8"/>
  <c r="EP151" i="8" s="1"/>
  <c r="FU123" i="8" l="1"/>
  <c r="FT123" i="8"/>
  <c r="ES150" i="8"/>
  <c r="ET150" i="8" s="1"/>
  <c r="EU150" i="8" s="1"/>
  <c r="EV150" i="8" s="1"/>
  <c r="EQ151" i="8" s="1"/>
  <c r="EO151" i="8" s="1"/>
  <c r="FW123" i="8"/>
  <c r="FN124" i="8" s="1"/>
  <c r="EF119" i="8"/>
  <c r="EG119" i="8" s="1"/>
  <c r="DQ119" i="8"/>
  <c r="DT119" i="8"/>
  <c r="EW150" i="8" l="1"/>
  <c r="FO124" i="8"/>
  <c r="GC124" i="8"/>
  <c r="GD124" i="8" s="1"/>
  <c r="FL124" i="8"/>
  <c r="FX124" i="8"/>
  <c r="ER151" i="8"/>
  <c r="ES151" i="8" s="1"/>
  <c r="ET151" i="8" s="1"/>
  <c r="EU151" i="8" s="1"/>
  <c r="EV151" i="8" s="1"/>
  <c r="EQ152" i="8" s="1"/>
  <c r="EO152" i="8" s="1"/>
  <c r="DU119" i="8"/>
  <c r="EE119" i="8"/>
  <c r="DW119" i="8"/>
  <c r="DR120" i="8" s="1"/>
  <c r="EP152" i="8" l="1"/>
  <c r="ER152" i="8" s="1"/>
  <c r="FP124" i="8"/>
  <c r="FZ124" i="8"/>
  <c r="FR124" i="8"/>
  <c r="EA119" i="8"/>
  <c r="DV119" i="8"/>
  <c r="DX119" i="8" s="1"/>
  <c r="EW151" i="8"/>
  <c r="FM125" i="8" l="1"/>
  <c r="GA125" i="8"/>
  <c r="GB125" i="8" s="1"/>
  <c r="FV124" i="8"/>
  <c r="FY124" i="8"/>
  <c r="FQ124" i="8"/>
  <c r="FS124" i="8" s="1"/>
  <c r="DZ119" i="8"/>
  <c r="ED119" i="8" s="1"/>
  <c r="DY119" i="8"/>
  <c r="EP153" i="8"/>
  <c r="ES152" i="8"/>
  <c r="ET152" i="8" s="1"/>
  <c r="EU152" i="8" s="1"/>
  <c r="EV152" i="8" s="1"/>
  <c r="EQ153" i="8" s="1"/>
  <c r="EO153" i="8" s="1"/>
  <c r="EB119" i="8" l="1"/>
  <c r="DS120" i="8" s="1"/>
  <c r="EF120" i="8" s="1"/>
  <c r="EG120" i="8" s="1"/>
  <c r="FT124" i="8"/>
  <c r="FU124" i="8"/>
  <c r="FW124" i="8" s="1"/>
  <c r="FN125" i="8" s="1"/>
  <c r="ER153" i="8"/>
  <c r="EW152" i="8"/>
  <c r="DT120" i="8" l="1"/>
  <c r="EE120" i="8" s="1"/>
  <c r="EK90" i="8" s="1"/>
  <c r="DQ120" i="8"/>
  <c r="FX125" i="8"/>
  <c r="FO125" i="8"/>
  <c r="FZ125" i="8" s="1"/>
  <c r="GC125" i="8"/>
  <c r="GD125" i="8" s="1"/>
  <c r="FL125" i="8"/>
  <c r="DU120" i="8"/>
  <c r="EP154" i="8"/>
  <c r="ES153" i="8"/>
  <c r="ET153" i="8" s="1"/>
  <c r="EU153" i="8" s="1"/>
  <c r="EV153" i="8" s="1"/>
  <c r="EQ154" i="8" s="1"/>
  <c r="EO154" i="8" s="1"/>
  <c r="DW120" i="8" l="1"/>
  <c r="EA120" i="8" s="1"/>
  <c r="FP125" i="8"/>
  <c r="FQ125" i="8" s="1"/>
  <c r="FR125" i="8"/>
  <c r="FM126" i="8" s="1"/>
  <c r="DR121" i="8"/>
  <c r="DV120" i="8"/>
  <c r="DX120" i="8" s="1"/>
  <c r="EW153" i="8"/>
  <c r="ER154" i="8"/>
  <c r="FY125" i="8" l="1"/>
  <c r="FV125" i="8"/>
  <c r="FS125" i="8"/>
  <c r="FU125" i="8" s="1"/>
  <c r="FW125" i="8" s="1"/>
  <c r="FN126" i="8" s="1"/>
  <c r="GA126" i="8"/>
  <c r="GB126" i="8" s="1"/>
  <c r="DZ120" i="8"/>
  <c r="DY120" i="8"/>
  <c r="EP155" i="8"/>
  <c r="ES154" i="8"/>
  <c r="ET154" i="8" s="1"/>
  <c r="EU154" i="8" s="1"/>
  <c r="FT125" i="8" l="1"/>
  <c r="GC126" i="8"/>
  <c r="GD126" i="8" s="1"/>
  <c r="FL126" i="8"/>
  <c r="FX126" i="8"/>
  <c r="FO126" i="8"/>
  <c r="EB120" i="8"/>
  <c r="DS121" i="8" s="1"/>
  <c r="ED120" i="8"/>
  <c r="EV154" i="8"/>
  <c r="EQ155" i="8" s="1"/>
  <c r="EO155" i="8" s="1"/>
  <c r="EW154" i="8"/>
  <c r="FZ126" i="8" l="1"/>
  <c r="FP126" i="8"/>
  <c r="FR126" i="8"/>
  <c r="EF121" i="8"/>
  <c r="EG121" i="8" s="1"/>
  <c r="DQ121" i="8"/>
  <c r="DT121" i="8"/>
  <c r="ER155" i="8"/>
  <c r="FM127" i="8" l="1"/>
  <c r="GA127" i="8"/>
  <c r="GB127" i="8" s="1"/>
  <c r="FV126" i="8"/>
  <c r="FY126" i="8"/>
  <c r="FQ126" i="8"/>
  <c r="FS126" i="8" s="1"/>
  <c r="EE121" i="8"/>
  <c r="DW121" i="8"/>
  <c r="DR122" i="8" s="1"/>
  <c r="DU121" i="8"/>
  <c r="ES155" i="8"/>
  <c r="ET155" i="8" s="1"/>
  <c r="EU155" i="8" s="1"/>
  <c r="EP156" i="8"/>
  <c r="FU126" i="8" l="1"/>
  <c r="FW126" i="8" s="1"/>
  <c r="FN127" i="8" s="1"/>
  <c r="FT126" i="8"/>
  <c r="DV121" i="8"/>
  <c r="DX121" i="8" s="1"/>
  <c r="EA121" i="8"/>
  <c r="EV155" i="8"/>
  <c r="EQ156" i="8" s="1"/>
  <c r="EO156" i="8" s="1"/>
  <c r="EW155" i="8"/>
  <c r="GC127" i="8" l="1"/>
  <c r="GD127" i="8" s="1"/>
  <c r="FL127" i="8"/>
  <c r="FX127" i="8"/>
  <c r="FO127" i="8"/>
  <c r="ER156" i="8"/>
  <c r="EP157" i="8" s="1"/>
  <c r="DZ121" i="8"/>
  <c r="ED121" i="8" s="1"/>
  <c r="DY121" i="8"/>
  <c r="ES156" i="8" l="1"/>
  <c r="ET156" i="8" s="1"/>
  <c r="EU156" i="8" s="1"/>
  <c r="EV156" i="8" s="1"/>
  <c r="EQ157" i="8" s="1"/>
  <c r="EO157" i="8" s="1"/>
  <c r="FR127" i="8"/>
  <c r="FM128" i="8" s="1"/>
  <c r="FZ127" i="8"/>
  <c r="FP127" i="8"/>
  <c r="EB121" i="8"/>
  <c r="DS122" i="8" s="1"/>
  <c r="EW156" i="8" l="1"/>
  <c r="ER157" i="8"/>
  <c r="ES157" i="8" s="1"/>
  <c r="ET157" i="8" s="1"/>
  <c r="EU157" i="8" s="1"/>
  <c r="EV157" i="8" s="1"/>
  <c r="EQ158" i="8" s="1"/>
  <c r="EO158" i="8" s="1"/>
  <c r="FQ127" i="8"/>
  <c r="FS127" i="8" s="1"/>
  <c r="GA128" i="8"/>
  <c r="GB128" i="8" s="1"/>
  <c r="FY127" i="8"/>
  <c r="FV127" i="8"/>
  <c r="EF122" i="8"/>
  <c r="EG122" i="8" s="1"/>
  <c r="DQ122" i="8"/>
  <c r="DT122" i="8"/>
  <c r="EP158" i="8" l="1"/>
  <c r="ER158" i="8" s="1"/>
  <c r="FU127" i="8"/>
  <c r="FW127" i="8" s="1"/>
  <c r="FN128" i="8" s="1"/>
  <c r="FT127" i="8"/>
  <c r="DU122" i="8"/>
  <c r="DW122" i="8"/>
  <c r="DR123" i="8" s="1"/>
  <c r="EE122" i="8"/>
  <c r="EW157" i="8"/>
  <c r="GC128" i="8" l="1"/>
  <c r="GD128" i="8" s="1"/>
  <c r="FL128" i="8"/>
  <c r="FO128" i="8"/>
  <c r="FX128" i="8"/>
  <c r="EA122" i="8"/>
  <c r="DV122" i="8"/>
  <c r="DX122" i="8" s="1"/>
  <c r="EP159" i="8"/>
  <c r="ES158" i="8"/>
  <c r="ET158" i="8" s="1"/>
  <c r="EU158" i="8" s="1"/>
  <c r="EV158" i="8" s="1"/>
  <c r="EQ159" i="8" s="1"/>
  <c r="EO159" i="8" s="1"/>
  <c r="FZ128" i="8" l="1"/>
  <c r="FR128" i="8"/>
  <c r="FM129" i="8" s="1"/>
  <c r="FP128" i="8"/>
  <c r="DZ122" i="8"/>
  <c r="EB122" i="8" s="1"/>
  <c r="DS123" i="8" s="1"/>
  <c r="DY122" i="8"/>
  <c r="EW158" i="8"/>
  <c r="ER159" i="8"/>
  <c r="ED122" i="8" l="1"/>
  <c r="FQ128" i="8"/>
  <c r="FS128" i="8" s="1"/>
  <c r="GA129" i="8"/>
  <c r="GB129" i="8" s="1"/>
  <c r="FV128" i="8"/>
  <c r="FY128" i="8"/>
  <c r="EF123" i="8"/>
  <c r="EG123" i="8" s="1"/>
  <c r="DQ123" i="8"/>
  <c r="DT123" i="8"/>
  <c r="ES159" i="8"/>
  <c r="ET159" i="8" s="1"/>
  <c r="EU159" i="8" s="1"/>
  <c r="EP160" i="8"/>
  <c r="FU128" i="8" l="1"/>
  <c r="FW128" i="8" s="1"/>
  <c r="FN129" i="8" s="1"/>
  <c r="FT128" i="8"/>
  <c r="DU123" i="8"/>
  <c r="DW123" i="8"/>
  <c r="DR124" i="8" s="1"/>
  <c r="EE123" i="8"/>
  <c r="EV159" i="8"/>
  <c r="EQ160" i="8" s="1"/>
  <c r="EO160" i="8" s="1"/>
  <c r="EW159" i="8"/>
  <c r="GC129" i="8" l="1"/>
  <c r="GD129" i="8" s="1"/>
  <c r="FL129" i="8"/>
  <c r="FO129" i="8"/>
  <c r="FX129" i="8"/>
  <c r="EA123" i="8"/>
  <c r="DV123" i="8"/>
  <c r="DX123" i="8" s="1"/>
  <c r="ER160" i="8"/>
  <c r="FP129" i="8" l="1"/>
  <c r="FR129" i="8"/>
  <c r="FM130" i="8" s="1"/>
  <c r="FZ129" i="8"/>
  <c r="DZ123" i="8"/>
  <c r="EB123" i="8" s="1"/>
  <c r="DS124" i="8" s="1"/>
  <c r="DY123" i="8"/>
  <c r="EP161" i="8"/>
  <c r="ES160" i="8"/>
  <c r="ET160" i="8" s="1"/>
  <c r="EU160" i="8" s="1"/>
  <c r="FY129" i="8" l="1"/>
  <c r="GA130" i="8"/>
  <c r="GB130" i="8" s="1"/>
  <c r="FV129" i="8"/>
  <c r="FQ129" i="8"/>
  <c r="FS129" i="8" s="1"/>
  <c r="ED123" i="8"/>
  <c r="EF124" i="8"/>
  <c r="EG124" i="8" s="1"/>
  <c r="DQ124" i="8"/>
  <c r="DT124" i="8"/>
  <c r="EV160" i="8"/>
  <c r="EQ161" i="8" s="1"/>
  <c r="EO161" i="8" s="1"/>
  <c r="EW160" i="8"/>
  <c r="FU129" i="8" l="1"/>
  <c r="FW129" i="8" s="1"/>
  <c r="FN130" i="8" s="1"/>
  <c r="FT129" i="8"/>
  <c r="DW124" i="8"/>
  <c r="EA124" i="8" s="1"/>
  <c r="EE124" i="8"/>
  <c r="DU124" i="8"/>
  <c r="ER161" i="8"/>
  <c r="DR125" i="8" l="1"/>
  <c r="GC130" i="8"/>
  <c r="GD130" i="8" s="1"/>
  <c r="FL130" i="8"/>
  <c r="FO130" i="8"/>
  <c r="FX130" i="8"/>
  <c r="DV124" i="8"/>
  <c r="DX124" i="8" s="1"/>
  <c r="EP162" i="8"/>
  <c r="ES161" i="8"/>
  <c r="ET161" i="8" s="1"/>
  <c r="EU161" i="8" s="1"/>
  <c r="FZ130" i="8" l="1"/>
  <c r="FP130" i="8"/>
  <c r="FR130" i="8"/>
  <c r="DZ124" i="8"/>
  <c r="DY124" i="8"/>
  <c r="EV161" i="8"/>
  <c r="EQ162" i="8" s="1"/>
  <c r="EO162" i="8" s="1"/>
  <c r="EW161" i="8"/>
  <c r="FM131" i="8" l="1"/>
  <c r="GA131" i="8"/>
  <c r="GB131" i="8" s="1"/>
  <c r="FV130" i="8"/>
  <c r="FY130" i="8"/>
  <c r="FQ130" i="8"/>
  <c r="FS130" i="8" s="1"/>
  <c r="EB124" i="8"/>
  <c r="DS125" i="8" s="1"/>
  <c r="ED124" i="8"/>
  <c r="ER162" i="8"/>
  <c r="FU130" i="8" l="1"/>
  <c r="FW130" i="8" s="1"/>
  <c r="FN131" i="8" s="1"/>
  <c r="FT130" i="8"/>
  <c r="EF125" i="8"/>
  <c r="EG125" i="8" s="1"/>
  <c r="DQ125" i="8"/>
  <c r="DT125" i="8"/>
  <c r="ES162" i="8"/>
  <c r="EP163" i="8"/>
  <c r="FO131" i="8" l="1"/>
  <c r="GC131" i="8"/>
  <c r="GD131" i="8" s="1"/>
  <c r="FL131" i="8"/>
  <c r="FX131" i="8"/>
  <c r="DU125" i="8"/>
  <c r="DW125" i="8"/>
  <c r="DR126" i="8" s="1"/>
  <c r="EE125" i="8"/>
  <c r="ET162" i="8"/>
  <c r="EU162" i="8" s="1"/>
  <c r="FP131" i="8" l="1"/>
  <c r="FZ131" i="8"/>
  <c r="FR131" i="8"/>
  <c r="FM132" i="8" s="1"/>
  <c r="EA125" i="8"/>
  <c r="DV125" i="8"/>
  <c r="DX125" i="8" s="1"/>
  <c r="EV162" i="8"/>
  <c r="EQ163" i="8" s="1"/>
  <c r="EW162" i="8"/>
  <c r="GA132" i="8" l="1"/>
  <c r="GB132" i="8" s="1"/>
  <c r="FV131" i="8"/>
  <c r="FY131" i="8"/>
  <c r="FQ131" i="8"/>
  <c r="FS131" i="8" s="1"/>
  <c r="DZ125" i="8"/>
  <c r="ED125" i="8" s="1"/>
  <c r="DY125" i="8"/>
  <c r="EO163" i="8"/>
  <c r="ER163" i="8"/>
  <c r="EB125" i="8" l="1"/>
  <c r="DS126" i="8" s="1"/>
  <c r="EF126" i="8" s="1"/>
  <c r="EG126" i="8" s="1"/>
  <c r="FU131" i="8"/>
  <c r="FW131" i="8" s="1"/>
  <c r="FN132" i="8" s="1"/>
  <c r="FX132" i="8" s="1"/>
  <c r="FT131" i="8"/>
  <c r="ES163" i="8"/>
  <c r="ET163" i="8" s="1"/>
  <c r="EU163" i="8" s="1"/>
  <c r="EP164" i="8"/>
  <c r="DT126" i="8" l="1"/>
  <c r="DU126" i="8" s="1"/>
  <c r="DQ126" i="8"/>
  <c r="GC132" i="8"/>
  <c r="GD132" i="8" s="1"/>
  <c r="FL132" i="8"/>
  <c r="FO132" i="8"/>
  <c r="EV163" i="8"/>
  <c r="EQ164" i="8" s="1"/>
  <c r="EO164" i="8" s="1"/>
  <c r="EW163" i="8"/>
  <c r="DW126" i="8" l="1"/>
  <c r="DR127" i="8" s="1"/>
  <c r="EE126" i="8"/>
  <c r="FP132" i="8"/>
  <c r="FR132" i="8"/>
  <c r="FM133" i="8" s="1"/>
  <c r="FZ132" i="8"/>
  <c r="DV126" i="8"/>
  <c r="ER164" i="8"/>
  <c r="DX126" i="8" l="1"/>
  <c r="DZ126" i="8" s="1"/>
  <c r="EA126" i="8"/>
  <c r="GA133" i="8"/>
  <c r="GB133" i="8" s="1"/>
  <c r="FV132" i="8"/>
  <c r="FY132" i="8"/>
  <c r="FQ132" i="8"/>
  <c r="FS132" i="8" s="1"/>
  <c r="EP165" i="8"/>
  <c r="ES164" i="8"/>
  <c r="ET164" i="8" s="1"/>
  <c r="EU164" i="8" s="1"/>
  <c r="EB126" i="8" l="1"/>
  <c r="DS127" i="8" s="1"/>
  <c r="EF127" i="8" s="1"/>
  <c r="EG127" i="8" s="1"/>
  <c r="DY126" i="8"/>
  <c r="FU132" i="8"/>
  <c r="FW132" i="8" s="1"/>
  <c r="FN133" i="8" s="1"/>
  <c r="FT132" i="8"/>
  <c r="ED126" i="8"/>
  <c r="EV164" i="8"/>
  <c r="EQ165" i="8" s="1"/>
  <c r="EO165" i="8" s="1"/>
  <c r="EW164" i="8"/>
  <c r="DT127" i="8" l="1"/>
  <c r="DQ127" i="8"/>
  <c r="GC133" i="8"/>
  <c r="GD133" i="8" s="1"/>
  <c r="FL133" i="8"/>
  <c r="FO133" i="8"/>
  <c r="FX133" i="8"/>
  <c r="DW127" i="8"/>
  <c r="DR128" i="8" s="1"/>
  <c r="DU127" i="8"/>
  <c r="EE127" i="8"/>
  <c r="ER165" i="8"/>
  <c r="ES165" i="8" s="1"/>
  <c r="ET165" i="8" s="1"/>
  <c r="EU165" i="8" s="1"/>
  <c r="EV165" i="8" s="1"/>
  <c r="EQ166" i="8" s="1"/>
  <c r="EO166" i="8" s="1"/>
  <c r="EP166" i="8" l="1"/>
  <c r="ER166" i="8" s="1"/>
  <c r="FP133" i="8"/>
  <c r="FR133" i="8"/>
  <c r="FM134" i="8" s="1"/>
  <c r="FZ133" i="8"/>
  <c r="DV127" i="8"/>
  <c r="DX127" i="8" s="1"/>
  <c r="EA127" i="8"/>
  <c r="EW165" i="8"/>
  <c r="GA134" i="8" l="1"/>
  <c r="GB134" i="8" s="1"/>
  <c r="FV133" i="8"/>
  <c r="FY133" i="8"/>
  <c r="FQ133" i="8"/>
  <c r="FS133" i="8" s="1"/>
  <c r="DZ127" i="8"/>
  <c r="ED127" i="8" s="1"/>
  <c r="DY127" i="8"/>
  <c r="ES166" i="8"/>
  <c r="ET166" i="8" s="1"/>
  <c r="EU166" i="8" s="1"/>
  <c r="EV166" i="8" s="1"/>
  <c r="EQ167" i="8" s="1"/>
  <c r="EO167" i="8" s="1"/>
  <c r="EP167" i="8"/>
  <c r="EB127" i="8" l="1"/>
  <c r="DS128" i="8" s="1"/>
  <c r="EF128" i="8" s="1"/>
  <c r="EG128" i="8" s="1"/>
  <c r="FU133" i="8"/>
  <c r="FW133" i="8" s="1"/>
  <c r="FN134" i="8" s="1"/>
  <c r="FT133" i="8"/>
  <c r="ER167" i="8"/>
  <c r="EW166" i="8"/>
  <c r="DQ128" i="8" l="1"/>
  <c r="DT128" i="8"/>
  <c r="DU128" i="8" s="1"/>
  <c r="GC134" i="8"/>
  <c r="GD134" i="8" s="1"/>
  <c r="FL134" i="8"/>
  <c r="FO134" i="8"/>
  <c r="FX134" i="8"/>
  <c r="DW128" i="8"/>
  <c r="EE128" i="8"/>
  <c r="ES167" i="8"/>
  <c r="ET167" i="8" s="1"/>
  <c r="EU167" i="8" s="1"/>
  <c r="EV167" i="8" s="1"/>
  <c r="EQ168" i="8" s="1"/>
  <c r="EO168" i="8" s="1"/>
  <c r="EP168" i="8"/>
  <c r="FP134" i="8" l="1"/>
  <c r="FZ134" i="8"/>
  <c r="FR134" i="8"/>
  <c r="DR129" i="8"/>
  <c r="EA128" i="8"/>
  <c r="DV128" i="8"/>
  <c r="DX128" i="8" s="1"/>
  <c r="ER168" i="8"/>
  <c r="EP169" i="8" s="1"/>
  <c r="EW167" i="8"/>
  <c r="ES168" i="8" l="1"/>
  <c r="ET168" i="8" s="1"/>
  <c r="EU168" i="8" s="1"/>
  <c r="EV168" i="8" s="1"/>
  <c r="EQ169" i="8" s="1"/>
  <c r="EO169" i="8" s="1"/>
  <c r="FM135" i="8"/>
  <c r="GA135" i="8"/>
  <c r="GB135" i="8" s="1"/>
  <c r="FV134" i="8"/>
  <c r="FY134" i="8"/>
  <c r="FQ134" i="8"/>
  <c r="FS134" i="8" s="1"/>
  <c r="DZ128" i="8"/>
  <c r="ED128" i="8" s="1"/>
  <c r="DY128" i="8"/>
  <c r="EW168" i="8" l="1"/>
  <c r="EB128" i="8"/>
  <c r="DS129" i="8" s="1"/>
  <c r="DT129" i="8" s="1"/>
  <c r="EE129" i="8" s="1"/>
  <c r="ER169" i="8"/>
  <c r="EP170" i="8" s="1"/>
  <c r="FU134" i="8"/>
  <c r="FW134" i="8" s="1"/>
  <c r="FN135" i="8" s="1"/>
  <c r="FT134" i="8"/>
  <c r="ES169" i="8" l="1"/>
  <c r="ET169" i="8" s="1"/>
  <c r="EU169" i="8" s="1"/>
  <c r="DQ129" i="8"/>
  <c r="EF129" i="8"/>
  <c r="EG129" i="8" s="1"/>
  <c r="DU129" i="8"/>
  <c r="DW129" i="8"/>
  <c r="DR130" i="8" s="1"/>
  <c r="GC135" i="8"/>
  <c r="GD135" i="8" s="1"/>
  <c r="FL135" i="8"/>
  <c r="FO135" i="8"/>
  <c r="FX135" i="8"/>
  <c r="DV129" i="8"/>
  <c r="DX129" i="8" s="1"/>
  <c r="EA129" i="8"/>
  <c r="EV169" i="8"/>
  <c r="EQ170" i="8" s="1"/>
  <c r="EO170" i="8" s="1"/>
  <c r="EW169" i="8"/>
  <c r="FZ135" i="8" l="1"/>
  <c r="FP135" i="8"/>
  <c r="FQ135" i="8" s="1"/>
  <c r="FR135" i="8"/>
  <c r="ER170" i="8"/>
  <c r="ES170" i="8" s="1"/>
  <c r="ET170" i="8" s="1"/>
  <c r="EU170" i="8" s="1"/>
  <c r="EV170" i="8" s="1"/>
  <c r="EQ171" i="8" s="1"/>
  <c r="EO171" i="8" s="1"/>
  <c r="DZ129" i="8"/>
  <c r="ED129" i="8" s="1"/>
  <c r="DY129" i="8"/>
  <c r="EP171" i="8" l="1"/>
  <c r="ER171" i="8" s="1"/>
  <c r="FM136" i="8"/>
  <c r="GA136" i="8"/>
  <c r="GB136" i="8" s="1"/>
  <c r="FV135" i="8"/>
  <c r="FY135" i="8"/>
  <c r="FS135" i="8"/>
  <c r="EB129" i="8"/>
  <c r="DS130" i="8" s="1"/>
  <c r="EW170" i="8"/>
  <c r="FU135" i="8" l="1"/>
  <c r="FW135" i="8" s="1"/>
  <c r="FN136" i="8" s="1"/>
  <c r="FT135" i="8"/>
  <c r="EF130" i="8"/>
  <c r="EG130" i="8" s="1"/>
  <c r="DQ130" i="8"/>
  <c r="DT130" i="8"/>
  <c r="ES171" i="8"/>
  <c r="ET171" i="8" s="1"/>
  <c r="EU171" i="8" s="1"/>
  <c r="EV171" i="8" s="1"/>
  <c r="EQ172" i="8" s="1"/>
  <c r="EO172" i="8" s="1"/>
  <c r="EP172" i="8"/>
  <c r="GC136" i="8" l="1"/>
  <c r="GD136" i="8" s="1"/>
  <c r="FL136" i="8"/>
  <c r="FX136" i="8"/>
  <c r="FO136" i="8"/>
  <c r="DU130" i="8"/>
  <c r="EE130" i="8"/>
  <c r="DW130" i="8"/>
  <c r="DR131" i="8" s="1"/>
  <c r="ER172" i="8"/>
  <c r="EW171" i="8"/>
  <c r="FR136" i="8" l="1"/>
  <c r="FZ136" i="8"/>
  <c r="FP136" i="8"/>
  <c r="EA130" i="8"/>
  <c r="DV130" i="8"/>
  <c r="DX130" i="8" s="1"/>
  <c r="EP173" i="8"/>
  <c r="ES172" i="8"/>
  <c r="ET172" i="8" s="1"/>
  <c r="EU172" i="8" s="1"/>
  <c r="EV172" i="8" s="1"/>
  <c r="EQ173" i="8" s="1"/>
  <c r="EO173" i="8" s="1"/>
  <c r="FQ136" i="8" l="1"/>
  <c r="FS136" i="8" s="1"/>
  <c r="FM137" i="8"/>
  <c r="GA137" i="8"/>
  <c r="GB137" i="8" s="1"/>
  <c r="FV136" i="8"/>
  <c r="FY136" i="8"/>
  <c r="DZ130" i="8"/>
  <c r="ED130" i="8" s="1"/>
  <c r="DY130" i="8"/>
  <c r="ER173" i="8"/>
  <c r="EW172" i="8"/>
  <c r="EB130" i="8" l="1"/>
  <c r="DS131" i="8" s="1"/>
  <c r="DQ131" i="8" s="1"/>
  <c r="FU136" i="8"/>
  <c r="FW136" i="8" s="1"/>
  <c r="FN137" i="8" s="1"/>
  <c r="FT136" i="8"/>
  <c r="EP174" i="8"/>
  <c r="ES173" i="8"/>
  <c r="ET173" i="8" s="1"/>
  <c r="EU173" i="8" s="1"/>
  <c r="EV173" i="8" s="1"/>
  <c r="EQ174" i="8" s="1"/>
  <c r="EO174" i="8" s="1"/>
  <c r="EF131" i="8" l="1"/>
  <c r="EG131" i="8" s="1"/>
  <c r="DT131" i="8"/>
  <c r="DU131" i="8" s="1"/>
  <c r="FO137" i="8"/>
  <c r="GC137" i="8"/>
  <c r="GD137" i="8" s="1"/>
  <c r="FL137" i="8"/>
  <c r="FX137" i="8"/>
  <c r="DW131" i="8"/>
  <c r="DR132" i="8" s="1"/>
  <c r="ER174" i="8"/>
  <c r="EW173" i="8"/>
  <c r="EE131" i="8" l="1"/>
  <c r="FP137" i="8"/>
  <c r="FZ137" i="8"/>
  <c r="FR137" i="8"/>
  <c r="FM138" i="8" s="1"/>
  <c r="DV131" i="8"/>
  <c r="DX131" i="8" s="1"/>
  <c r="EA131" i="8"/>
  <c r="ES174" i="8"/>
  <c r="ET174" i="8" s="1"/>
  <c r="EU174" i="8" s="1"/>
  <c r="EV174" i="8" s="1"/>
  <c r="EQ175" i="8" s="1"/>
  <c r="EO175" i="8" s="1"/>
  <c r="EP175" i="8"/>
  <c r="GA138" i="8" l="1"/>
  <c r="GB138" i="8" s="1"/>
  <c r="FV137" i="8"/>
  <c r="FY137" i="8"/>
  <c r="FQ137" i="8"/>
  <c r="FS137" i="8" s="1"/>
  <c r="DZ131" i="8"/>
  <c r="ED131" i="8" s="1"/>
  <c r="DY131" i="8"/>
  <c r="ER175" i="8"/>
  <c r="EW174" i="8"/>
  <c r="FU137" i="8" l="1"/>
  <c r="FW137" i="8" s="1"/>
  <c r="FT137" i="8"/>
  <c r="FN138" i="8"/>
  <c r="FX138" i="8" s="1"/>
  <c r="EB131" i="8"/>
  <c r="DS132" i="8" s="1"/>
  <c r="ES175" i="8"/>
  <c r="ET175" i="8" s="1"/>
  <c r="EU175" i="8" s="1"/>
  <c r="EV175" i="8" s="1"/>
  <c r="EQ176" i="8" s="1"/>
  <c r="EO176" i="8" s="1"/>
  <c r="EP176" i="8"/>
  <c r="GC138" i="8" l="1"/>
  <c r="GD138" i="8" s="1"/>
  <c r="FL138" i="8"/>
  <c r="FO138" i="8"/>
  <c r="EF132" i="8"/>
  <c r="EG132" i="8" s="1"/>
  <c r="DQ132" i="8"/>
  <c r="DT132" i="8"/>
  <c r="EW175" i="8"/>
  <c r="ER176" i="8"/>
  <c r="FR138" i="8" l="1"/>
  <c r="FM139" i="8" s="1"/>
  <c r="FZ138" i="8"/>
  <c r="FP138" i="8"/>
  <c r="FQ138" i="8" s="1"/>
  <c r="FS138" i="8" s="1"/>
  <c r="EE132" i="8"/>
  <c r="DU132" i="8"/>
  <c r="DW132" i="8"/>
  <c r="DR133" i="8" s="1"/>
  <c r="EP177" i="8"/>
  <c r="ES176" i="8"/>
  <c r="ET176" i="8" s="1"/>
  <c r="EU176" i="8" s="1"/>
  <c r="EV176" i="8" s="1"/>
  <c r="EQ177" i="8" s="1"/>
  <c r="EO177" i="8" s="1"/>
  <c r="FU138" i="8" l="1"/>
  <c r="FT138" i="8"/>
  <c r="GA139" i="8"/>
  <c r="GB139" i="8" s="1"/>
  <c r="FY138" i="8"/>
  <c r="FV138" i="8"/>
  <c r="FW138" i="8" s="1"/>
  <c r="EA132" i="8"/>
  <c r="DV132" i="8"/>
  <c r="DX132" i="8" s="1"/>
  <c r="EW176" i="8"/>
  <c r="ER177" i="8"/>
  <c r="FN139" i="8" l="1"/>
  <c r="FX139" i="8" s="1"/>
  <c r="DZ132" i="8"/>
  <c r="ED132" i="8" s="1"/>
  <c r="DY132" i="8"/>
  <c r="EP178" i="8"/>
  <c r="ES177" i="8"/>
  <c r="ET177" i="8" s="1"/>
  <c r="EU177" i="8" s="1"/>
  <c r="EB132" i="8" l="1"/>
  <c r="DS133" i="8" s="1"/>
  <c r="EF133" i="8" s="1"/>
  <c r="EG133" i="8" s="1"/>
  <c r="GC139" i="8"/>
  <c r="GD139" i="8" s="1"/>
  <c r="FL139" i="8"/>
  <c r="FO139" i="8"/>
  <c r="EV177" i="8"/>
  <c r="EQ178" i="8" s="1"/>
  <c r="EO178" i="8" s="1"/>
  <c r="EW177" i="8"/>
  <c r="DT133" i="8" l="1"/>
  <c r="DU133" i="8" s="1"/>
  <c r="DQ133" i="8"/>
  <c r="FP139" i="8"/>
  <c r="FZ139" i="8"/>
  <c r="FR139" i="8"/>
  <c r="ER178" i="8"/>
  <c r="ES178" i="8" s="1"/>
  <c r="ET178" i="8" s="1"/>
  <c r="EU178" i="8" s="1"/>
  <c r="EV178" i="8" s="1"/>
  <c r="EQ179" i="8" s="1"/>
  <c r="EO179" i="8" s="1"/>
  <c r="DW133" i="8" l="1"/>
  <c r="DR134" i="8" s="1"/>
  <c r="EE133" i="8"/>
  <c r="FM140" i="8"/>
  <c r="GA140" i="8"/>
  <c r="GB140" i="8" s="1"/>
  <c r="FY139" i="8"/>
  <c r="FV139" i="8"/>
  <c r="EP179" i="8"/>
  <c r="ER179" i="8" s="1"/>
  <c r="FQ139" i="8"/>
  <c r="FS139" i="8" s="1"/>
  <c r="DV133" i="8"/>
  <c r="DX133" i="8" s="1"/>
  <c r="EA133" i="8"/>
  <c r="EW178" i="8"/>
  <c r="FU139" i="8" l="1"/>
  <c r="FW139" i="8" s="1"/>
  <c r="FN140" i="8" s="1"/>
  <c r="FT139" i="8"/>
  <c r="DZ133" i="8"/>
  <c r="ED133" i="8" s="1"/>
  <c r="DY133" i="8"/>
  <c r="ES179" i="8"/>
  <c r="EP180" i="8"/>
  <c r="GC140" i="8" l="1"/>
  <c r="GD140" i="8" s="1"/>
  <c r="FL140" i="8"/>
  <c r="FX140" i="8"/>
  <c r="FO140" i="8"/>
  <c r="EB133" i="8"/>
  <c r="DS134" i="8" s="1"/>
  <c r="ET179" i="8"/>
  <c r="EU179" i="8" s="1"/>
  <c r="FZ140" i="8" l="1"/>
  <c r="FP140" i="8"/>
  <c r="FR140" i="8"/>
  <c r="EF134" i="8"/>
  <c r="EG134" i="8" s="1"/>
  <c r="DQ134" i="8"/>
  <c r="DT134" i="8"/>
  <c r="EV179" i="8"/>
  <c r="EQ180" i="8" s="1"/>
  <c r="EW179" i="8"/>
  <c r="FM141" i="8" l="1"/>
  <c r="GA141" i="8"/>
  <c r="GB141" i="8" s="1"/>
  <c r="FV140" i="8"/>
  <c r="FY140" i="8"/>
  <c r="FQ140" i="8"/>
  <c r="FS140" i="8" s="1"/>
  <c r="DW134" i="8"/>
  <c r="DR135" i="8" s="1"/>
  <c r="DU134" i="8"/>
  <c r="EE134" i="8"/>
  <c r="EO180" i="8"/>
  <c r="ER180" i="8"/>
  <c r="ES180" i="8" s="1"/>
  <c r="ET180" i="8" s="1"/>
  <c r="EU180" i="8" s="1"/>
  <c r="EV180" i="8" s="1"/>
  <c r="FU140" i="8" l="1"/>
  <c r="FW140" i="8" s="1"/>
  <c r="FN141" i="8" s="1"/>
  <c r="FT140" i="8"/>
  <c r="DV134" i="8"/>
  <c r="DX134" i="8" s="1"/>
  <c r="EA134" i="8"/>
  <c r="EW180" i="8"/>
  <c r="GC141" i="8" l="1"/>
  <c r="GD141" i="8" s="1"/>
  <c r="FL141" i="8"/>
  <c r="FX141" i="8"/>
  <c r="FO141" i="8"/>
  <c r="DZ134" i="8"/>
  <c r="ED134" i="8" s="1"/>
  <c r="DY134" i="8"/>
  <c r="EB134" i="8"/>
  <c r="DS135" i="8" s="1"/>
  <c r="FZ141" i="8" l="1"/>
  <c r="FP141" i="8"/>
  <c r="FR141" i="8"/>
  <c r="FM142" i="8" s="1"/>
  <c r="EF135" i="8"/>
  <c r="EG135" i="8" s="1"/>
  <c r="DQ135" i="8"/>
  <c r="DT135" i="8"/>
  <c r="GA142" i="8" l="1"/>
  <c r="GB142" i="8" s="1"/>
  <c r="FY141" i="8"/>
  <c r="FV141" i="8"/>
  <c r="FQ141" i="8"/>
  <c r="FS141" i="8" s="1"/>
  <c r="DU135" i="8"/>
  <c r="EE135" i="8"/>
  <c r="DW135" i="8"/>
  <c r="DR136" i="8" s="1"/>
  <c r="FU141" i="8" l="1"/>
  <c r="FT141" i="8"/>
  <c r="FW141" i="8"/>
  <c r="FN142" i="8" s="1"/>
  <c r="EA135" i="8"/>
  <c r="DV135" i="8"/>
  <c r="DX135" i="8" s="1"/>
  <c r="GC142" i="8" l="1"/>
  <c r="GD142" i="8" s="1"/>
  <c r="FL142" i="8"/>
  <c r="FO142" i="8"/>
  <c r="FX142" i="8"/>
  <c r="DZ135" i="8"/>
  <c r="ED135" i="8" s="1"/>
  <c r="DY135" i="8"/>
  <c r="EB135" i="8" l="1"/>
  <c r="DS136" i="8" s="1"/>
  <c r="EF136" i="8" s="1"/>
  <c r="EG136" i="8" s="1"/>
  <c r="FR142" i="8"/>
  <c r="FZ142" i="8"/>
  <c r="FP142" i="8"/>
  <c r="DT136" i="8" l="1"/>
  <c r="DQ136" i="8"/>
  <c r="FQ142" i="8"/>
  <c r="FS142" i="8" s="1"/>
  <c r="FM143" i="8"/>
  <c r="GA143" i="8"/>
  <c r="GB143" i="8" s="1"/>
  <c r="FV142" i="8"/>
  <c r="FY142" i="8"/>
  <c r="EE136" i="8"/>
  <c r="DW136" i="8"/>
  <c r="DR137" i="8" s="1"/>
  <c r="DU136" i="8"/>
  <c r="FU142" i="8" l="1"/>
  <c r="FW142" i="8" s="1"/>
  <c r="FN143" i="8" s="1"/>
  <c r="FT142" i="8"/>
  <c r="DV136" i="8"/>
  <c r="DX136" i="8" s="1"/>
  <c r="EA136" i="8"/>
  <c r="GC143" i="8" l="1"/>
  <c r="GD143" i="8" s="1"/>
  <c r="FL143" i="8"/>
  <c r="FX143" i="8"/>
  <c r="FO143" i="8"/>
  <c r="DZ136" i="8"/>
  <c r="ED136" i="8" s="1"/>
  <c r="DY136" i="8"/>
  <c r="EB136" i="8" l="1"/>
  <c r="DS137" i="8" s="1"/>
  <c r="EF137" i="8" s="1"/>
  <c r="EG137" i="8" s="1"/>
  <c r="FZ143" i="8"/>
  <c r="FR143" i="8"/>
  <c r="FP143" i="8"/>
  <c r="DQ137" i="8" l="1"/>
  <c r="DT137" i="8"/>
  <c r="DW137" i="8" s="1"/>
  <c r="DR138" i="8" s="1"/>
  <c r="FQ143" i="8"/>
  <c r="FS143" i="8" s="1"/>
  <c r="FM144" i="8"/>
  <c r="GA144" i="8"/>
  <c r="GB144" i="8" s="1"/>
  <c r="FV143" i="8"/>
  <c r="FY143" i="8"/>
  <c r="EE137" i="8"/>
  <c r="DU137" i="8" l="1"/>
  <c r="FU143" i="8"/>
  <c r="FW143" i="8" s="1"/>
  <c r="FN144" i="8" s="1"/>
  <c r="FT143" i="8"/>
  <c r="EA137" i="8"/>
  <c r="DV137" i="8"/>
  <c r="DX137" i="8" s="1"/>
  <c r="GC144" i="8" l="1"/>
  <c r="GD144" i="8" s="1"/>
  <c r="FL144" i="8"/>
  <c r="FX144" i="8"/>
  <c r="FO144" i="8"/>
  <c r="DZ137" i="8"/>
  <c r="EB137" i="8" s="1"/>
  <c r="DS138" i="8" s="1"/>
  <c r="DY137" i="8"/>
  <c r="FP144" i="8" l="1"/>
  <c r="FZ144" i="8"/>
  <c r="FR144" i="8"/>
  <c r="FM145" i="8" s="1"/>
  <c r="ED137" i="8"/>
  <c r="EF138" i="8"/>
  <c r="EG138" i="8" s="1"/>
  <c r="DQ138" i="8"/>
  <c r="DT138" i="8"/>
  <c r="GA145" i="8" l="1"/>
  <c r="GB145" i="8" s="1"/>
  <c r="FV144" i="8"/>
  <c r="FY144" i="8"/>
  <c r="FQ144" i="8"/>
  <c r="FS144" i="8" s="1"/>
  <c r="DW138" i="8"/>
  <c r="EA138" i="8" s="1"/>
  <c r="DU138" i="8"/>
  <c r="EE138" i="8"/>
  <c r="FU144" i="8" l="1"/>
  <c r="FW144" i="8" s="1"/>
  <c r="FN145" i="8" s="1"/>
  <c r="FT144" i="8"/>
  <c r="DR139" i="8"/>
  <c r="DV138" i="8"/>
  <c r="DX138" i="8" s="1"/>
  <c r="GC145" i="8" l="1"/>
  <c r="GD145" i="8" s="1"/>
  <c r="FL145" i="8"/>
  <c r="FO145" i="8"/>
  <c r="FX145" i="8"/>
  <c r="DZ138" i="8"/>
  <c r="DY138" i="8"/>
  <c r="FZ145" i="8" l="1"/>
  <c r="FP145" i="8"/>
  <c r="FR145" i="8"/>
  <c r="EB138" i="8"/>
  <c r="DS139" i="8" s="1"/>
  <c r="ED138" i="8"/>
  <c r="FM146" i="8" l="1"/>
  <c r="GA146" i="8"/>
  <c r="GB146" i="8" s="1"/>
  <c r="FV145" i="8"/>
  <c r="FY145" i="8"/>
  <c r="FQ145" i="8"/>
  <c r="FS145" i="8" s="1"/>
  <c r="EF139" i="8"/>
  <c r="EG139" i="8" s="1"/>
  <c r="DQ139" i="8"/>
  <c r="DT139" i="8"/>
  <c r="FU145" i="8" l="1"/>
  <c r="FW145" i="8" s="1"/>
  <c r="FN146" i="8" s="1"/>
  <c r="FT145" i="8"/>
  <c r="EE139" i="8"/>
  <c r="DW139" i="8"/>
  <c r="DR140" i="8" s="1"/>
  <c r="DU139" i="8"/>
  <c r="GC146" i="8" l="1"/>
  <c r="GD146" i="8" s="1"/>
  <c r="FL146" i="8"/>
  <c r="FO146" i="8"/>
  <c r="FX146" i="8"/>
  <c r="DV139" i="8"/>
  <c r="DX139" i="8" s="1"/>
  <c r="EA139" i="8"/>
  <c r="FP146" i="8" l="1"/>
  <c r="FZ146" i="8"/>
  <c r="FR146" i="8"/>
  <c r="DZ139" i="8"/>
  <c r="ED139" i="8" s="1"/>
  <c r="DY139" i="8"/>
  <c r="EB139" i="8" l="1"/>
  <c r="DS140" i="8" s="1"/>
  <c r="EF140" i="8" s="1"/>
  <c r="EG140" i="8" s="1"/>
  <c r="FM147" i="8"/>
  <c r="GA147" i="8"/>
  <c r="GB147" i="8" s="1"/>
  <c r="FV146" i="8"/>
  <c r="FY146" i="8"/>
  <c r="FQ146" i="8"/>
  <c r="FS146" i="8" s="1"/>
  <c r="DT140" i="8" l="1"/>
  <c r="EE140" i="8" s="1"/>
  <c r="DQ140" i="8"/>
  <c r="FU146" i="8"/>
  <c r="FT146" i="8"/>
  <c r="FW146" i="8"/>
  <c r="FN147" i="8" s="1"/>
  <c r="DU140" i="8"/>
  <c r="DW140" i="8"/>
  <c r="EA140" i="8" s="1"/>
  <c r="GC147" i="8" l="1"/>
  <c r="GD147" i="8" s="1"/>
  <c r="FL147" i="8"/>
  <c r="FO147" i="8"/>
  <c r="FX147" i="8"/>
  <c r="DR141" i="8"/>
  <c r="DV140" i="8"/>
  <c r="DX140" i="8" s="1"/>
  <c r="FR147" i="8" l="1"/>
  <c r="FP147" i="8"/>
  <c r="FZ147" i="8"/>
  <c r="DZ140" i="8"/>
  <c r="DY140" i="8"/>
  <c r="FQ147" i="8" l="1"/>
  <c r="FS147" i="8" s="1"/>
  <c r="FM148" i="8"/>
  <c r="GA148" i="8"/>
  <c r="GB148" i="8" s="1"/>
  <c r="FV147" i="8"/>
  <c r="FY147" i="8"/>
  <c r="EB140" i="8"/>
  <c r="DS141" i="8" s="1"/>
  <c r="ED140" i="8"/>
  <c r="FT147" i="8" l="1"/>
  <c r="FU147" i="8"/>
  <c r="FW147" i="8" s="1"/>
  <c r="FN148" i="8" s="1"/>
  <c r="EF141" i="8"/>
  <c r="EG141" i="8" s="1"/>
  <c r="DQ141" i="8"/>
  <c r="DT141" i="8"/>
  <c r="GC148" i="8" l="1"/>
  <c r="GD148" i="8" s="1"/>
  <c r="FL148" i="8"/>
  <c r="FX148" i="8"/>
  <c r="FO148" i="8"/>
  <c r="DW141" i="8"/>
  <c r="DR142" i="8" s="1"/>
  <c r="DU141" i="8"/>
  <c r="EE141" i="8"/>
  <c r="FP148" i="8" l="1"/>
  <c r="FZ148" i="8"/>
  <c r="FR148" i="8"/>
  <c r="DV141" i="8"/>
  <c r="DX141" i="8" s="1"/>
  <c r="EA141" i="8"/>
  <c r="FM149" i="8" l="1"/>
  <c r="GA149" i="8"/>
  <c r="GB149" i="8" s="1"/>
  <c r="FV148" i="8"/>
  <c r="FY148" i="8"/>
  <c r="FQ148" i="8"/>
  <c r="FS148" i="8" s="1"/>
  <c r="DZ141" i="8"/>
  <c r="ED141" i="8" s="1"/>
  <c r="DY141" i="8"/>
  <c r="FU148" i="8" l="1"/>
  <c r="FW148" i="8" s="1"/>
  <c r="FN149" i="8" s="1"/>
  <c r="FT148" i="8"/>
  <c r="EB141" i="8"/>
  <c r="DS142" i="8" s="1"/>
  <c r="FO149" i="8" l="1"/>
  <c r="FZ149" i="8" s="1"/>
  <c r="FX149" i="8"/>
  <c r="GC149" i="8"/>
  <c r="GD149" i="8" s="1"/>
  <c r="FL149" i="8"/>
  <c r="EF142" i="8"/>
  <c r="EG142" i="8" s="1"/>
  <c r="DQ142" i="8"/>
  <c r="DT142" i="8"/>
  <c r="FR149" i="8" l="1"/>
  <c r="FM150" i="8" s="1"/>
  <c r="FP149" i="8"/>
  <c r="FQ149" i="8" s="1"/>
  <c r="FS149" i="8" s="1"/>
  <c r="FV149" i="8"/>
  <c r="EE142" i="8"/>
  <c r="DU142" i="8"/>
  <c r="DW142" i="8"/>
  <c r="FY149" i="8" l="1"/>
  <c r="GA150" i="8"/>
  <c r="GB150" i="8" s="1"/>
  <c r="FT149" i="8"/>
  <c r="FU149" i="8"/>
  <c r="FW149" i="8" s="1"/>
  <c r="FN150" i="8" s="1"/>
  <c r="DR143" i="8"/>
  <c r="EA142" i="8"/>
  <c r="DV142" i="8"/>
  <c r="DX142" i="8" s="1"/>
  <c r="GC150" i="8" l="1"/>
  <c r="GD150" i="8" s="1"/>
  <c r="FL150" i="8"/>
  <c r="FO150" i="8"/>
  <c r="FX150" i="8"/>
  <c r="DZ142" i="8"/>
  <c r="ED142" i="8" s="1"/>
  <c r="DY142" i="8"/>
  <c r="EB142" i="8" l="1"/>
  <c r="DS143" i="8" s="1"/>
  <c r="DT143" i="8" s="1"/>
  <c r="EE143" i="8" s="1"/>
  <c r="FZ150" i="8"/>
  <c r="FP150" i="8"/>
  <c r="FR150" i="8"/>
  <c r="DQ143" i="8" l="1"/>
  <c r="DU143" i="8"/>
  <c r="DV143" i="8" s="1"/>
  <c r="EF143" i="8"/>
  <c r="EG143" i="8" s="1"/>
  <c r="DW143" i="8"/>
  <c r="EA143" i="8" s="1"/>
  <c r="FM151" i="8"/>
  <c r="GA151" i="8"/>
  <c r="GB151" i="8" s="1"/>
  <c r="FY150" i="8"/>
  <c r="FV150" i="8"/>
  <c r="FQ150" i="8"/>
  <c r="FS150" i="8" s="1"/>
  <c r="DR144" i="8" l="1"/>
  <c r="DX143" i="8"/>
  <c r="DZ143" i="8" s="1"/>
  <c r="FU150" i="8"/>
  <c r="FW150" i="8" s="1"/>
  <c r="FN151" i="8" s="1"/>
  <c r="FT150" i="8"/>
  <c r="DY143" i="8" l="1"/>
  <c r="ED143" i="8"/>
  <c r="EB143" i="8"/>
  <c r="DS144" i="8" s="1"/>
  <c r="DT144" i="8" s="1"/>
  <c r="EE144" i="8" s="1"/>
  <c r="GC151" i="8"/>
  <c r="GD151" i="8" s="1"/>
  <c r="FL151" i="8"/>
  <c r="FX151" i="8"/>
  <c r="FO151" i="8"/>
  <c r="DU144" i="8" l="1"/>
  <c r="DV144" i="8" s="1"/>
  <c r="DW144" i="8"/>
  <c r="DR145" i="8" s="1"/>
  <c r="DQ144" i="8"/>
  <c r="EF144" i="8"/>
  <c r="EG144" i="8" s="1"/>
  <c r="FZ151" i="8"/>
  <c r="FP151" i="8"/>
  <c r="FR151" i="8"/>
  <c r="EA144" i="8"/>
  <c r="DX144" i="8" l="1"/>
  <c r="FM152" i="8"/>
  <c r="GA152" i="8"/>
  <c r="GB152" i="8" s="1"/>
  <c r="FV151" i="8"/>
  <c r="FY151" i="8"/>
  <c r="FQ151" i="8"/>
  <c r="FS151" i="8" s="1"/>
  <c r="DZ144" i="8"/>
  <c r="EB144" i="8" s="1"/>
  <c r="DS145" i="8" s="1"/>
  <c r="DY144" i="8"/>
  <c r="FU151" i="8" l="1"/>
  <c r="FT151" i="8"/>
  <c r="FW151" i="8"/>
  <c r="FN152" i="8" s="1"/>
  <c r="EF145" i="8"/>
  <c r="EG145" i="8" s="1"/>
  <c r="DQ145" i="8"/>
  <c r="DT145" i="8"/>
  <c r="ED144" i="8"/>
  <c r="GC152" i="8" l="1"/>
  <c r="GD152" i="8" s="1"/>
  <c r="FL152" i="8"/>
  <c r="FX152" i="8"/>
  <c r="FO152" i="8"/>
  <c r="EE145" i="8"/>
  <c r="DU145" i="8"/>
  <c r="DW145" i="8"/>
  <c r="FR152" i="8" l="1"/>
  <c r="FP152" i="8"/>
  <c r="FQ152" i="8" s="1"/>
  <c r="FZ152" i="8"/>
  <c r="EA145" i="8"/>
  <c r="DV145" i="8"/>
  <c r="DX145" i="8" s="1"/>
  <c r="DR146" i="8"/>
  <c r="FS152" i="8" l="1"/>
  <c r="FU152" i="8" s="1"/>
  <c r="FM153" i="8"/>
  <c r="GA153" i="8"/>
  <c r="GB153" i="8" s="1"/>
  <c r="FY152" i="8"/>
  <c r="FV152" i="8"/>
  <c r="DZ145" i="8"/>
  <c r="ED145" i="8" s="1"/>
  <c r="DY145" i="8"/>
  <c r="FT152" i="8" l="1"/>
  <c r="EB145" i="8"/>
  <c r="DS146" i="8" s="1"/>
  <c r="EF146" i="8" s="1"/>
  <c r="EG146" i="8" s="1"/>
  <c r="FW152" i="8"/>
  <c r="FN153" i="8" s="1"/>
  <c r="DT146" i="8" l="1"/>
  <c r="DQ146" i="8"/>
  <c r="GC153" i="8"/>
  <c r="GD153" i="8" s="1"/>
  <c r="FL153" i="8"/>
  <c r="FX153" i="8"/>
  <c r="FO153" i="8"/>
  <c r="EE146" i="8"/>
  <c r="DW146" i="8"/>
  <c r="DR147" i="8" s="1"/>
  <c r="DU146" i="8"/>
  <c r="FP153" i="8" l="1"/>
  <c r="FR153" i="8"/>
  <c r="FM154" i="8" s="1"/>
  <c r="FZ153" i="8"/>
  <c r="DV146" i="8"/>
  <c r="DX146" i="8" s="1"/>
  <c r="EA146" i="8"/>
  <c r="GA154" i="8" l="1"/>
  <c r="GB154" i="8" s="1"/>
  <c r="FV153" i="8"/>
  <c r="FY153" i="8"/>
  <c r="FQ153" i="8"/>
  <c r="FS153" i="8" s="1"/>
  <c r="DZ146" i="8"/>
  <c r="ED146" i="8" s="1"/>
  <c r="DY146" i="8"/>
  <c r="EB146" i="8" l="1"/>
  <c r="DS147" i="8" s="1"/>
  <c r="DT147" i="8" s="1"/>
  <c r="FU153" i="8"/>
  <c r="FW153" i="8" s="1"/>
  <c r="FN154" i="8" s="1"/>
  <c r="FX154" i="8" s="1"/>
  <c r="FT153" i="8"/>
  <c r="DQ147" i="8" l="1"/>
  <c r="EF147" i="8"/>
  <c r="EG147" i="8" s="1"/>
  <c r="GC154" i="8"/>
  <c r="GD154" i="8" s="1"/>
  <c r="FL154" i="8"/>
  <c r="FO154" i="8"/>
  <c r="DW147" i="8"/>
  <c r="DR148" i="8" s="1"/>
  <c r="EE147" i="8"/>
  <c r="DU147" i="8"/>
  <c r="FP154" i="8" l="1"/>
  <c r="FZ154" i="8"/>
  <c r="FR154" i="8"/>
  <c r="FM155" i="8" s="1"/>
  <c r="DV147" i="8"/>
  <c r="DX147" i="8" s="1"/>
  <c r="EA147" i="8"/>
  <c r="GA155" i="8" l="1"/>
  <c r="GB155" i="8" s="1"/>
  <c r="FV154" i="8"/>
  <c r="FY154" i="8"/>
  <c r="FQ154" i="8"/>
  <c r="FS154" i="8" s="1"/>
  <c r="DZ147" i="8"/>
  <c r="EB147" i="8" s="1"/>
  <c r="DS148" i="8" s="1"/>
  <c r="DY147" i="8"/>
  <c r="FU154" i="8" l="1"/>
  <c r="FW154" i="8" s="1"/>
  <c r="FN155" i="8" s="1"/>
  <c r="FX155" i="8" s="1"/>
  <c r="FT154" i="8"/>
  <c r="EF148" i="8"/>
  <c r="EG148" i="8" s="1"/>
  <c r="DQ148" i="8"/>
  <c r="DT148" i="8"/>
  <c r="ED147" i="8"/>
  <c r="GC155" i="8" l="1"/>
  <c r="GD155" i="8" s="1"/>
  <c r="FL155" i="8"/>
  <c r="FO155" i="8"/>
  <c r="EE148" i="8"/>
  <c r="DU148" i="8"/>
  <c r="DW148" i="8"/>
  <c r="EA148" i="8" s="1"/>
  <c r="FR155" i="8" l="1"/>
  <c r="FM156" i="8" s="1"/>
  <c r="FP155" i="8"/>
  <c r="FQ155" i="8" s="1"/>
  <c r="FS155" i="8" s="1"/>
  <c r="FZ155" i="8"/>
  <c r="DR149" i="8"/>
  <c r="DV148" i="8"/>
  <c r="DX148" i="8" s="1"/>
  <c r="FT155" i="8" l="1"/>
  <c r="FU155" i="8"/>
  <c r="GA156" i="8"/>
  <c r="GB156" i="8" s="1"/>
  <c r="FV155" i="8"/>
  <c r="FY155" i="8"/>
  <c r="DZ148" i="8"/>
  <c r="DY148" i="8"/>
  <c r="FW155" i="8" l="1"/>
  <c r="FN156" i="8" s="1"/>
  <c r="EB148" i="8"/>
  <c r="DS149" i="8" s="1"/>
  <c r="ED148" i="8"/>
  <c r="GC156" i="8" l="1"/>
  <c r="GD156" i="8" s="1"/>
  <c r="FL156" i="8"/>
  <c r="FO156" i="8"/>
  <c r="FX156" i="8"/>
  <c r="EF149" i="8"/>
  <c r="EG149" i="8" s="1"/>
  <c r="DQ149" i="8"/>
  <c r="DT149" i="8"/>
  <c r="FR156" i="8" l="1"/>
  <c r="FZ156" i="8"/>
  <c r="FP156" i="8"/>
  <c r="EE149" i="8"/>
  <c r="DU149" i="8"/>
  <c r="DW149" i="8"/>
  <c r="FQ156" i="8" l="1"/>
  <c r="FS156" i="8" s="1"/>
  <c r="FM157" i="8"/>
  <c r="GA157" i="8"/>
  <c r="GB157" i="8" s="1"/>
  <c r="FY156" i="8"/>
  <c r="FV156" i="8"/>
  <c r="DR150" i="8"/>
  <c r="EA149" i="8"/>
  <c r="DV149" i="8"/>
  <c r="DX149" i="8" s="1"/>
  <c r="FU156" i="8" l="1"/>
  <c r="FW156" i="8" s="1"/>
  <c r="FN157" i="8" s="1"/>
  <c r="FT156" i="8"/>
  <c r="DZ149" i="8"/>
  <c r="ED149" i="8" s="1"/>
  <c r="DY149" i="8"/>
  <c r="GC157" i="8" l="1"/>
  <c r="GD157" i="8" s="1"/>
  <c r="FL157" i="8"/>
  <c r="FX157" i="8"/>
  <c r="FO157" i="8"/>
  <c r="EB149" i="8"/>
  <c r="DS150" i="8" s="1"/>
  <c r="FZ157" i="8" l="1"/>
  <c r="FR157" i="8"/>
  <c r="FP157" i="8"/>
  <c r="FQ157" i="8" s="1"/>
  <c r="FS157" i="8" s="1"/>
  <c r="EF150" i="8"/>
  <c r="EG150" i="8" s="1"/>
  <c r="DQ150" i="8"/>
  <c r="DT150" i="8"/>
  <c r="FT157" i="8" l="1"/>
  <c r="FU157" i="8"/>
  <c r="FM158" i="8"/>
  <c r="GA158" i="8"/>
  <c r="GB158" i="8" s="1"/>
  <c r="FV157" i="8"/>
  <c r="FY157" i="8"/>
  <c r="EE150" i="8"/>
  <c r="DW150" i="8"/>
  <c r="DR151" i="8" s="1"/>
  <c r="DU150" i="8"/>
  <c r="FW157" i="8" l="1"/>
  <c r="FN158" i="8" s="1"/>
  <c r="DV150" i="8"/>
  <c r="DX150" i="8" s="1"/>
  <c r="EA150" i="8"/>
  <c r="GC158" i="8" l="1"/>
  <c r="GD158" i="8" s="1"/>
  <c r="FL158" i="8"/>
  <c r="FX158" i="8"/>
  <c r="FO158" i="8"/>
  <c r="DZ150" i="8"/>
  <c r="ED150" i="8" s="1"/>
  <c r="DY150" i="8"/>
  <c r="FP158" i="8" l="1"/>
  <c r="FQ158" i="8" s="1"/>
  <c r="FR158" i="8"/>
  <c r="FM159" i="8" s="1"/>
  <c r="FZ158" i="8"/>
  <c r="EB150" i="8"/>
  <c r="DS151" i="8" s="1"/>
  <c r="GA159" i="8" l="1"/>
  <c r="GB159" i="8" s="1"/>
  <c r="FY158" i="8"/>
  <c r="FV158" i="8"/>
  <c r="FS158" i="8"/>
  <c r="EF151" i="8"/>
  <c r="EG151" i="8" s="1"/>
  <c r="DQ151" i="8"/>
  <c r="DT151" i="8"/>
  <c r="FU158" i="8" l="1"/>
  <c r="FW158" i="8" s="1"/>
  <c r="FN159" i="8" s="1"/>
  <c r="FT158" i="8"/>
  <c r="DW151" i="8"/>
  <c r="DR152" i="8" s="1"/>
  <c r="EE151" i="8"/>
  <c r="DU151" i="8"/>
  <c r="FO159" i="8" l="1"/>
  <c r="GC159" i="8"/>
  <c r="GD159" i="8" s="1"/>
  <c r="FL159" i="8"/>
  <c r="FX159" i="8"/>
  <c r="DV151" i="8"/>
  <c r="DX151" i="8" s="1"/>
  <c r="EA151" i="8"/>
  <c r="FZ159" i="8" l="1"/>
  <c r="FR159" i="8"/>
  <c r="FP159" i="8"/>
  <c r="DZ151" i="8"/>
  <c r="ED151" i="8" s="1"/>
  <c r="DY151" i="8"/>
  <c r="EB151" i="8" l="1"/>
  <c r="DS152" i="8" s="1"/>
  <c r="EF152" i="8" s="1"/>
  <c r="EG152" i="8" s="1"/>
  <c r="FQ159" i="8"/>
  <c r="FS159" i="8" s="1"/>
  <c r="FM160" i="8"/>
  <c r="GA160" i="8"/>
  <c r="GB160" i="8" s="1"/>
  <c r="FV159" i="8"/>
  <c r="FY159" i="8"/>
  <c r="DQ152" i="8" l="1"/>
  <c r="DT152" i="8"/>
  <c r="DU152" i="8" s="1"/>
  <c r="FU159" i="8"/>
  <c r="FW159" i="8" s="1"/>
  <c r="FN160" i="8" s="1"/>
  <c r="FT159" i="8"/>
  <c r="EE152" i="8"/>
  <c r="DW152" i="8" l="1"/>
  <c r="DR153" i="8" s="1"/>
  <c r="GC160" i="8"/>
  <c r="GD160" i="8" s="1"/>
  <c r="FL160" i="8"/>
  <c r="FX160" i="8"/>
  <c r="FO160" i="8"/>
  <c r="EA152" i="8"/>
  <c r="DV152" i="8"/>
  <c r="DX152" i="8" s="1"/>
  <c r="FP160" i="8" l="1"/>
  <c r="FZ160" i="8"/>
  <c r="FR160" i="8"/>
  <c r="DZ152" i="8"/>
  <c r="ED152" i="8" s="1"/>
  <c r="DY152" i="8"/>
  <c r="FM161" i="8" l="1"/>
  <c r="GA161" i="8"/>
  <c r="GB161" i="8" s="1"/>
  <c r="FY160" i="8"/>
  <c r="FV160" i="8"/>
  <c r="FQ160" i="8"/>
  <c r="FS160" i="8" s="1"/>
  <c r="EB152" i="8"/>
  <c r="DS153" i="8" s="1"/>
  <c r="FT160" i="8" l="1"/>
  <c r="FU160" i="8"/>
  <c r="FW160" i="8" s="1"/>
  <c r="FN161" i="8" s="1"/>
  <c r="FO161" i="8" s="1"/>
  <c r="EF153" i="8"/>
  <c r="EG153" i="8" s="1"/>
  <c r="DQ153" i="8"/>
  <c r="DT153" i="8"/>
  <c r="FP161" i="8" l="1"/>
  <c r="FR161" i="8"/>
  <c r="FZ161" i="8"/>
  <c r="GC161" i="8"/>
  <c r="GD161" i="8" s="1"/>
  <c r="FL161" i="8"/>
  <c r="FX161" i="8"/>
  <c r="EE153" i="8"/>
  <c r="DU153" i="8"/>
  <c r="DW153" i="8"/>
  <c r="DR154" i="8" s="1"/>
  <c r="FM162" i="8" l="1"/>
  <c r="GA162" i="8"/>
  <c r="GB162" i="8" s="1"/>
  <c r="FY161" i="8"/>
  <c r="FV161" i="8"/>
  <c r="FQ161" i="8"/>
  <c r="FS161" i="8" s="1"/>
  <c r="EA153" i="8"/>
  <c r="DV153" i="8"/>
  <c r="DX153" i="8" s="1"/>
  <c r="FU161" i="8" l="1"/>
  <c r="FW161" i="8" s="1"/>
  <c r="FN162" i="8" s="1"/>
  <c r="FT161" i="8"/>
  <c r="DZ153" i="8"/>
  <c r="ED153" i="8" s="1"/>
  <c r="DY153" i="8"/>
  <c r="EB153" i="8" l="1"/>
  <c r="DS154" i="8" s="1"/>
  <c r="DT154" i="8" s="1"/>
  <c r="GC162" i="8"/>
  <c r="GD162" i="8" s="1"/>
  <c r="FL162" i="8"/>
  <c r="FX162" i="8"/>
  <c r="FO162" i="8"/>
  <c r="DQ154" i="8" l="1"/>
  <c r="EF154" i="8"/>
  <c r="EG154" i="8" s="1"/>
  <c r="FR162" i="8"/>
  <c r="FZ162" i="8"/>
  <c r="FP162" i="8"/>
  <c r="EE154" i="8"/>
  <c r="DU154" i="8"/>
  <c r="DW154" i="8"/>
  <c r="DR155" i="8" s="1"/>
  <c r="FQ162" i="8" l="1"/>
  <c r="FS162" i="8" s="1"/>
  <c r="FM163" i="8"/>
  <c r="GA163" i="8"/>
  <c r="GB163" i="8" s="1"/>
  <c r="FY162" i="8"/>
  <c r="FV162" i="8"/>
  <c r="EA154" i="8"/>
  <c r="DV154" i="8"/>
  <c r="DX154" i="8" s="1"/>
  <c r="FU162" i="8" l="1"/>
  <c r="FW162" i="8" s="1"/>
  <c r="FN163" i="8" s="1"/>
  <c r="FT162" i="8"/>
  <c r="DZ154" i="8"/>
  <c r="ED154" i="8" s="1"/>
  <c r="DY154" i="8"/>
  <c r="EB154" i="8"/>
  <c r="DS155" i="8" s="1"/>
  <c r="GC163" i="8" l="1"/>
  <c r="GD163" i="8" s="1"/>
  <c r="FL163" i="8"/>
  <c r="FX163" i="8"/>
  <c r="FO163" i="8"/>
  <c r="EF155" i="8"/>
  <c r="EG155" i="8" s="1"/>
  <c r="DQ155" i="8"/>
  <c r="DT155" i="8"/>
  <c r="FP163" i="8" l="1"/>
  <c r="FR163" i="8"/>
  <c r="FM164" i="8" s="1"/>
  <c r="FZ163" i="8"/>
  <c r="EE155" i="8"/>
  <c r="DU155" i="8"/>
  <c r="DW155" i="8"/>
  <c r="EA155" i="8" s="1"/>
  <c r="GA164" i="8" l="1"/>
  <c r="GB164" i="8" s="1"/>
  <c r="FV163" i="8"/>
  <c r="FY163" i="8"/>
  <c r="FQ163" i="8"/>
  <c r="FS163" i="8" s="1"/>
  <c r="DR156" i="8"/>
  <c r="DV155" i="8"/>
  <c r="DX155" i="8" s="1"/>
  <c r="FU163" i="8" l="1"/>
  <c r="FW163" i="8" s="1"/>
  <c r="FN164" i="8" s="1"/>
  <c r="FT163" i="8"/>
  <c r="DZ155" i="8"/>
  <c r="DY155" i="8"/>
  <c r="GC164" i="8" l="1"/>
  <c r="GD164" i="8" s="1"/>
  <c r="FL164" i="8"/>
  <c r="FO164" i="8"/>
  <c r="FX164" i="8"/>
  <c r="EB155" i="8"/>
  <c r="DS156" i="8" s="1"/>
  <c r="ED155" i="8"/>
  <c r="FP164" i="8" l="1"/>
  <c r="FR164" i="8"/>
  <c r="FZ164" i="8"/>
  <c r="EF156" i="8"/>
  <c r="EG156" i="8" s="1"/>
  <c r="DQ156" i="8"/>
  <c r="DT156" i="8"/>
  <c r="FM165" i="8" l="1"/>
  <c r="GA165" i="8"/>
  <c r="GB165" i="8" s="1"/>
  <c r="FY164" i="8"/>
  <c r="FV164" i="8"/>
  <c r="FQ164" i="8"/>
  <c r="FS164" i="8" s="1"/>
  <c r="DU156" i="8"/>
  <c r="EE156" i="8"/>
  <c r="DW156" i="8"/>
  <c r="FT164" i="8" l="1"/>
  <c r="FU164" i="8"/>
  <c r="FW164" i="8" s="1"/>
  <c r="FN165" i="8" s="1"/>
  <c r="EA156" i="8"/>
  <c r="DR157" i="8"/>
  <c r="DV156" i="8"/>
  <c r="DX156" i="8" s="1"/>
  <c r="GC165" i="8" l="1"/>
  <c r="GD165" i="8" s="1"/>
  <c r="FL165" i="8"/>
  <c r="FX165" i="8"/>
  <c r="FO165" i="8"/>
  <c r="DZ156" i="8"/>
  <c r="ED156" i="8" s="1"/>
  <c r="DY156" i="8"/>
  <c r="EB156" i="8" l="1"/>
  <c r="DS157" i="8" s="1"/>
  <c r="EF157" i="8" s="1"/>
  <c r="EG157" i="8" s="1"/>
  <c r="FP165" i="8"/>
  <c r="FR165" i="8"/>
  <c r="FZ165" i="8"/>
  <c r="DQ157" i="8" l="1"/>
  <c r="DT157" i="8"/>
  <c r="EE157" i="8" s="1"/>
  <c r="FM166" i="8"/>
  <c r="GA166" i="8"/>
  <c r="GB166" i="8" s="1"/>
  <c r="FV165" i="8"/>
  <c r="FY165" i="8"/>
  <c r="FQ165" i="8"/>
  <c r="FS165" i="8" s="1"/>
  <c r="DU157" i="8" l="1"/>
  <c r="DV157" i="8" s="1"/>
  <c r="DX157" i="8" s="1"/>
  <c r="DW157" i="8"/>
  <c r="DR158" i="8" s="1"/>
  <c r="FU165" i="8"/>
  <c r="FT165" i="8"/>
  <c r="FW165" i="8"/>
  <c r="FN166" i="8" s="1"/>
  <c r="EA157" i="8" l="1"/>
  <c r="GC166" i="8"/>
  <c r="GD166" i="8" s="1"/>
  <c r="FL166" i="8"/>
  <c r="FX166" i="8"/>
  <c r="FO166" i="8"/>
  <c r="DZ157" i="8"/>
  <c r="ED157" i="8" s="1"/>
  <c r="DY157" i="8"/>
  <c r="EB157" i="8" l="1"/>
  <c r="DS158" i="8" s="1"/>
  <c r="EF158" i="8" s="1"/>
  <c r="EG158" i="8" s="1"/>
  <c r="FZ166" i="8"/>
  <c r="FP166" i="8"/>
  <c r="FR166" i="8"/>
  <c r="FM167" i="8" s="1"/>
  <c r="DT158" i="8" l="1"/>
  <c r="DQ158" i="8"/>
  <c r="GA167" i="8"/>
  <c r="GB167" i="8" s="1"/>
  <c r="FV166" i="8"/>
  <c r="FY166" i="8"/>
  <c r="FQ166" i="8"/>
  <c r="FS166" i="8" s="1"/>
  <c r="DU158" i="8"/>
  <c r="DW158" i="8"/>
  <c r="DR159" i="8" s="1"/>
  <c r="EE158" i="8"/>
  <c r="FU166" i="8" l="1"/>
  <c r="FW166" i="8" s="1"/>
  <c r="FN167" i="8" s="1"/>
  <c r="FT166" i="8"/>
  <c r="EA158" i="8"/>
  <c r="DV158" i="8"/>
  <c r="DX158" i="8" s="1"/>
  <c r="GC167" i="8" l="1"/>
  <c r="GD167" i="8" s="1"/>
  <c r="FL167" i="8"/>
  <c r="FO167" i="8"/>
  <c r="FX167" i="8"/>
  <c r="DZ158" i="8"/>
  <c r="ED158" i="8" s="1"/>
  <c r="DY158" i="8"/>
  <c r="EB158" i="8" l="1"/>
  <c r="DS159" i="8" s="1"/>
  <c r="DQ159" i="8" s="1"/>
  <c r="FP167" i="8"/>
  <c r="FR167" i="8"/>
  <c r="FZ167" i="8"/>
  <c r="EF159" i="8" l="1"/>
  <c r="EG159" i="8" s="1"/>
  <c r="DT159" i="8"/>
  <c r="DU159" i="8" s="1"/>
  <c r="FM168" i="8"/>
  <c r="GA168" i="8"/>
  <c r="GB168" i="8" s="1"/>
  <c r="FV167" i="8"/>
  <c r="FY167" i="8"/>
  <c r="FQ167" i="8"/>
  <c r="FS167" i="8" s="1"/>
  <c r="EE159" i="8"/>
  <c r="DW159" i="8"/>
  <c r="FU167" i="8" l="1"/>
  <c r="FW167" i="8" s="1"/>
  <c r="FN168" i="8" s="1"/>
  <c r="FT167" i="8"/>
  <c r="EA159" i="8"/>
  <c r="DR160" i="8"/>
  <c r="DV159" i="8"/>
  <c r="DX159" i="8" s="1"/>
  <c r="GC168" i="8" l="1"/>
  <c r="GD168" i="8" s="1"/>
  <c r="FL168" i="8"/>
  <c r="FX168" i="8"/>
  <c r="FO168" i="8"/>
  <c r="DZ159" i="8"/>
  <c r="ED159" i="8" s="1"/>
  <c r="DY159" i="8"/>
  <c r="EB159" i="8" l="1"/>
  <c r="DS160" i="8" s="1"/>
  <c r="EF160" i="8" s="1"/>
  <c r="EG160" i="8" s="1"/>
  <c r="FR168" i="8"/>
  <c r="FM169" i="8" s="1"/>
  <c r="FZ168" i="8"/>
  <c r="FP168" i="8"/>
  <c r="FQ168" i="8" s="1"/>
  <c r="FS168" i="8" s="1"/>
  <c r="DT160" i="8" l="1"/>
  <c r="DU160" i="8" s="1"/>
  <c r="DQ160" i="8"/>
  <c r="FT168" i="8"/>
  <c r="FU168" i="8"/>
  <c r="GA169" i="8"/>
  <c r="GB169" i="8" s="1"/>
  <c r="FV168" i="8"/>
  <c r="FY168" i="8"/>
  <c r="EE160" i="8" l="1"/>
  <c r="DW160" i="8"/>
  <c r="EA160" i="8" s="1"/>
  <c r="FW168" i="8"/>
  <c r="FN169" i="8" s="1"/>
  <c r="DV160" i="8"/>
  <c r="DX160" i="8" s="1"/>
  <c r="DR161" i="8" l="1"/>
  <c r="GC169" i="8"/>
  <c r="GD169" i="8" s="1"/>
  <c r="FL169" i="8"/>
  <c r="FO169" i="8"/>
  <c r="FX169" i="8"/>
  <c r="DZ160" i="8"/>
  <c r="DY160" i="8"/>
  <c r="FP169" i="8" l="1"/>
  <c r="FR169" i="8"/>
  <c r="FM170" i="8" s="1"/>
  <c r="FZ169" i="8"/>
  <c r="EB160" i="8"/>
  <c r="DS161" i="8" s="1"/>
  <c r="ED160" i="8"/>
  <c r="GA170" i="8" l="1"/>
  <c r="GB170" i="8" s="1"/>
  <c r="FV169" i="8"/>
  <c r="FY169" i="8"/>
  <c r="FQ169" i="8"/>
  <c r="FS169" i="8" s="1"/>
  <c r="EF161" i="8"/>
  <c r="EG161" i="8" s="1"/>
  <c r="DQ161" i="8"/>
  <c r="DT161" i="8"/>
  <c r="FU169" i="8" l="1"/>
  <c r="FT169" i="8"/>
  <c r="FW169" i="8"/>
  <c r="FN170" i="8" s="1"/>
  <c r="DW161" i="8"/>
  <c r="DR162" i="8" s="1"/>
  <c r="EE161" i="8"/>
  <c r="DU161" i="8"/>
  <c r="GC170" i="8" l="1"/>
  <c r="GD170" i="8" s="1"/>
  <c r="FL170" i="8"/>
  <c r="FO170" i="8"/>
  <c r="FX170" i="8"/>
  <c r="DV161" i="8"/>
  <c r="DX161" i="8" s="1"/>
  <c r="EA161" i="8"/>
  <c r="FP170" i="8" l="1"/>
  <c r="FZ170" i="8"/>
  <c r="FR170" i="8"/>
  <c r="FM171" i="8" s="1"/>
  <c r="DZ161" i="8"/>
  <c r="ED161" i="8" s="1"/>
  <c r="DY161" i="8"/>
  <c r="EB161" i="8" l="1"/>
  <c r="DS162" i="8" s="1"/>
  <c r="DQ162" i="8" s="1"/>
  <c r="GA171" i="8"/>
  <c r="GB171" i="8" s="1"/>
  <c r="FY170" i="8"/>
  <c r="FV170" i="8"/>
  <c r="FQ170" i="8"/>
  <c r="FS170" i="8" s="1"/>
  <c r="EF162" i="8" l="1"/>
  <c r="EG162" i="8" s="1"/>
  <c r="DT162" i="8"/>
  <c r="DW162" i="8" s="1"/>
  <c r="EA162" i="8" s="1"/>
  <c r="FU170" i="8"/>
  <c r="FW170" i="8" s="1"/>
  <c r="FN171" i="8" s="1"/>
  <c r="FT170" i="8"/>
  <c r="EE162" i="8" l="1"/>
  <c r="DU162" i="8"/>
  <c r="DR163" i="8"/>
  <c r="GC171" i="8"/>
  <c r="GD171" i="8" s="1"/>
  <c r="FL171" i="8"/>
  <c r="FO171" i="8"/>
  <c r="FX171" i="8"/>
  <c r="DV162" i="8"/>
  <c r="DX162" i="8" s="1"/>
  <c r="FR171" i="8" l="1"/>
  <c r="FZ171" i="8"/>
  <c r="FP171" i="8"/>
  <c r="FQ171" i="8" s="1"/>
  <c r="DZ162" i="8"/>
  <c r="DY162" i="8"/>
  <c r="FS171" i="8" l="1"/>
  <c r="FT171" i="8" s="1"/>
  <c r="FM172" i="8"/>
  <c r="GA172" i="8"/>
  <c r="GB172" i="8" s="1"/>
  <c r="FY171" i="8"/>
  <c r="FV171" i="8"/>
  <c r="EB162" i="8"/>
  <c r="DS163" i="8" s="1"/>
  <c r="ED162" i="8"/>
  <c r="FU171" i="8" l="1"/>
  <c r="FW171" i="8"/>
  <c r="FN172" i="8" s="1"/>
  <c r="EF163" i="8"/>
  <c r="EG163" i="8" s="1"/>
  <c r="DQ163" i="8"/>
  <c r="DT163" i="8"/>
  <c r="GC172" i="8" l="1"/>
  <c r="GD172" i="8" s="1"/>
  <c r="FL172" i="8"/>
  <c r="FX172" i="8"/>
  <c r="FO172" i="8"/>
  <c r="EE163" i="8"/>
  <c r="DW163" i="8"/>
  <c r="DR164" i="8" s="1"/>
  <c r="DU163" i="8"/>
  <c r="FR172" i="8" l="1"/>
  <c r="FM173" i="8" s="1"/>
  <c r="FP172" i="8"/>
  <c r="FZ172" i="8"/>
  <c r="DV163" i="8"/>
  <c r="DX163" i="8" s="1"/>
  <c r="EA163" i="8"/>
  <c r="FQ172" i="8" l="1"/>
  <c r="FS172" i="8" s="1"/>
  <c r="GA173" i="8"/>
  <c r="GB173" i="8" s="1"/>
  <c r="FY172" i="8"/>
  <c r="FV172" i="8"/>
  <c r="DZ163" i="8"/>
  <c r="ED163" i="8" s="1"/>
  <c r="DY163" i="8"/>
  <c r="FU172" i="8" l="1"/>
  <c r="FW172" i="8" s="1"/>
  <c r="FN173" i="8" s="1"/>
  <c r="FT172" i="8"/>
  <c r="EB163" i="8"/>
  <c r="DS164" i="8" s="1"/>
  <c r="GC173" i="8" l="1"/>
  <c r="GD173" i="8" s="1"/>
  <c r="FL173" i="8"/>
  <c r="FO173" i="8"/>
  <c r="FX173" i="8"/>
  <c r="EF164" i="8"/>
  <c r="EG164" i="8" s="1"/>
  <c r="DQ164" i="8"/>
  <c r="DT164" i="8"/>
  <c r="FP173" i="8" l="1"/>
  <c r="FZ173" i="8"/>
  <c r="FR173" i="8"/>
  <c r="FM174" i="8" s="1"/>
  <c r="EE164" i="8"/>
  <c r="DU164" i="8"/>
  <c r="DW164" i="8"/>
  <c r="GA174" i="8" l="1"/>
  <c r="GB174" i="8" s="1"/>
  <c r="FY173" i="8"/>
  <c r="FV173" i="8"/>
  <c r="FQ173" i="8"/>
  <c r="FS173" i="8" s="1"/>
  <c r="EA164" i="8"/>
  <c r="DR165" i="8"/>
  <c r="DV164" i="8"/>
  <c r="DX164" i="8" s="1"/>
  <c r="FU173" i="8" l="1"/>
  <c r="FW173" i="8" s="1"/>
  <c r="FN174" i="8" s="1"/>
  <c r="FT173" i="8"/>
  <c r="DZ164" i="8"/>
  <c r="ED164" i="8" s="1"/>
  <c r="DY164" i="8"/>
  <c r="EB164" i="8" l="1"/>
  <c r="DS165" i="8" s="1"/>
  <c r="EF165" i="8" s="1"/>
  <c r="EG165" i="8" s="1"/>
  <c r="GC174" i="8"/>
  <c r="GD174" i="8" s="1"/>
  <c r="FL174" i="8"/>
  <c r="FO174" i="8"/>
  <c r="FX174" i="8"/>
  <c r="DT165" i="8" l="1"/>
  <c r="EE165" i="8" s="1"/>
  <c r="DQ165" i="8"/>
  <c r="FZ174" i="8"/>
  <c r="FR174" i="8"/>
  <c r="FM175" i="8" s="1"/>
  <c r="FP174" i="8"/>
  <c r="FQ174" i="8" s="1"/>
  <c r="FS174" i="8" s="1"/>
  <c r="DU165" i="8" l="1"/>
  <c r="DW165" i="8"/>
  <c r="DR166" i="8" s="1"/>
  <c r="FT174" i="8"/>
  <c r="FU174" i="8"/>
  <c r="GA175" i="8"/>
  <c r="GB175" i="8" s="1"/>
  <c r="FV174" i="8"/>
  <c r="FW174" i="8" s="1"/>
  <c r="FY174" i="8"/>
  <c r="DV165" i="8"/>
  <c r="DX165" i="8" s="1"/>
  <c r="EA165" i="8"/>
  <c r="FN175" i="8" l="1"/>
  <c r="DZ165" i="8"/>
  <c r="ED165" i="8" s="1"/>
  <c r="DY165" i="8"/>
  <c r="GC175" i="8" l="1"/>
  <c r="GD175" i="8" s="1"/>
  <c r="FL175" i="8"/>
  <c r="FO175" i="8"/>
  <c r="FX175" i="8"/>
  <c r="EB165" i="8"/>
  <c r="DS166" i="8" s="1"/>
  <c r="FR175" i="8" l="1"/>
  <c r="FP175" i="8"/>
  <c r="FZ175" i="8"/>
  <c r="EF166" i="8"/>
  <c r="EG166" i="8" s="1"/>
  <c r="DQ166" i="8"/>
  <c r="DT166" i="8"/>
  <c r="FQ175" i="8" l="1"/>
  <c r="FS175" i="8" s="1"/>
  <c r="FM176" i="8"/>
  <c r="GA176" i="8"/>
  <c r="GB176" i="8" s="1"/>
  <c r="FV175" i="8"/>
  <c r="FY175" i="8"/>
  <c r="DW166" i="8"/>
  <c r="DR167" i="8" s="1"/>
  <c r="DU166" i="8"/>
  <c r="EE166" i="8"/>
  <c r="FU175" i="8" l="1"/>
  <c r="FW175" i="8" s="1"/>
  <c r="FN176" i="8" s="1"/>
  <c r="FT175" i="8"/>
  <c r="DV166" i="8"/>
  <c r="DX166" i="8" s="1"/>
  <c r="EA166" i="8"/>
  <c r="GC176" i="8" l="1"/>
  <c r="GD176" i="8" s="1"/>
  <c r="FL176" i="8"/>
  <c r="FX176" i="8"/>
  <c r="FO176" i="8"/>
  <c r="DZ166" i="8"/>
  <c r="EB166" i="8" s="1"/>
  <c r="DS167" i="8" s="1"/>
  <c r="DY166" i="8"/>
  <c r="FZ176" i="8" l="1"/>
  <c r="FR176" i="8"/>
  <c r="FM177" i="8" s="1"/>
  <c r="FP176" i="8"/>
  <c r="EF167" i="8"/>
  <c r="EG167" i="8" s="1"/>
  <c r="DQ167" i="8"/>
  <c r="DT167" i="8"/>
  <c r="ED166" i="8"/>
  <c r="FQ176" i="8" l="1"/>
  <c r="FS176" i="8" s="1"/>
  <c r="GA177" i="8"/>
  <c r="GB177" i="8" s="1"/>
  <c r="FV176" i="8"/>
  <c r="FY176" i="8"/>
  <c r="DU167" i="8"/>
  <c r="DW167" i="8"/>
  <c r="DR168" i="8" s="1"/>
  <c r="EE167" i="8"/>
  <c r="FU176" i="8" l="1"/>
  <c r="FW176" i="8" s="1"/>
  <c r="FN177" i="8" s="1"/>
  <c r="FT176" i="8"/>
  <c r="EA167" i="8"/>
  <c r="DV167" i="8"/>
  <c r="DX167" i="8" s="1"/>
  <c r="GC177" i="8" l="1"/>
  <c r="GD177" i="8" s="1"/>
  <c r="FL177" i="8"/>
  <c r="FO177" i="8"/>
  <c r="FX177" i="8"/>
  <c r="DZ167" i="8"/>
  <c r="ED167" i="8" s="1"/>
  <c r="DY167" i="8"/>
  <c r="EB167" i="8" l="1"/>
  <c r="DS168" i="8" s="1"/>
  <c r="EF168" i="8" s="1"/>
  <c r="EG168" i="8" s="1"/>
  <c r="FR177" i="8"/>
  <c r="FZ177" i="8"/>
  <c r="FP177" i="8"/>
  <c r="DQ168" i="8" l="1"/>
  <c r="DT168" i="8"/>
  <c r="FQ177" i="8"/>
  <c r="FS177" i="8" s="1"/>
  <c r="FM178" i="8"/>
  <c r="GA178" i="8"/>
  <c r="GB178" i="8" s="1"/>
  <c r="FV177" i="8"/>
  <c r="FY177" i="8"/>
  <c r="DU168" i="8"/>
  <c r="EE168" i="8"/>
  <c r="DW168" i="8"/>
  <c r="EA168" i="8" s="1"/>
  <c r="FU177" i="8" l="1"/>
  <c r="FW177" i="8" s="1"/>
  <c r="FN178" i="8" s="1"/>
  <c r="FT177" i="8"/>
  <c r="DR169" i="8"/>
  <c r="DV168" i="8"/>
  <c r="DX168" i="8" s="1"/>
  <c r="GC178" i="8" l="1"/>
  <c r="GD178" i="8" s="1"/>
  <c r="FL178" i="8"/>
  <c r="FX178" i="8"/>
  <c r="FO178" i="8"/>
  <c r="DZ168" i="8"/>
  <c r="DY168" i="8"/>
  <c r="FP178" i="8" l="1"/>
  <c r="FZ178" i="8"/>
  <c r="FR178" i="8"/>
  <c r="FM179" i="8" s="1"/>
  <c r="EB168" i="8"/>
  <c r="DS169" i="8" s="1"/>
  <c r="ED168" i="8"/>
  <c r="GA179" i="8" l="1"/>
  <c r="GB179" i="8" s="1"/>
  <c r="FV178" i="8"/>
  <c r="FY178" i="8"/>
  <c r="FQ178" i="8"/>
  <c r="FS178" i="8" s="1"/>
  <c r="EF169" i="8"/>
  <c r="EG169" i="8" s="1"/>
  <c r="DQ169" i="8"/>
  <c r="DT169" i="8"/>
  <c r="FU178" i="8" l="1"/>
  <c r="FW178" i="8" s="1"/>
  <c r="FN179" i="8" s="1"/>
  <c r="FT178" i="8"/>
  <c r="DU169" i="8"/>
  <c r="DW169" i="8"/>
  <c r="DR170" i="8" s="1"/>
  <c r="EE169" i="8"/>
  <c r="GC179" i="8" l="1"/>
  <c r="GD179" i="8" s="1"/>
  <c r="GF96" i="8" s="1"/>
  <c r="GF99" i="8" s="1"/>
  <c r="FL179" i="8"/>
  <c r="FO179" i="8"/>
  <c r="FX179" i="8"/>
  <c r="GF94" i="8" s="1"/>
  <c r="EA169" i="8"/>
  <c r="DV169" i="8"/>
  <c r="DX169" i="8" s="1"/>
  <c r="FP179" i="8" l="1"/>
  <c r="FZ179" i="8"/>
  <c r="GF90" i="8" s="1"/>
  <c r="GF91" i="8" s="1"/>
  <c r="GF92" i="8" s="1"/>
  <c r="GF93" i="8" s="1"/>
  <c r="GF95" i="8" s="1"/>
  <c r="FR179" i="8"/>
  <c r="GM81" i="8"/>
  <c r="GN81" i="8" s="1"/>
  <c r="GL82" i="8" s="1"/>
  <c r="GF98" i="8"/>
  <c r="GT83" i="8" s="1"/>
  <c r="DZ169" i="8"/>
  <c r="ED169" i="8" s="1"/>
  <c r="DY169" i="8"/>
  <c r="EB169" i="8" l="1"/>
  <c r="DS170" i="8" s="1"/>
  <c r="GT90" i="8"/>
  <c r="GT91" i="8"/>
  <c r="GT92" i="8"/>
  <c r="GT93" i="8"/>
  <c r="GT94" i="8"/>
  <c r="GT95" i="8"/>
  <c r="GT96" i="8"/>
  <c r="GT97" i="8"/>
  <c r="GT98" i="8"/>
  <c r="GT99" i="8"/>
  <c r="GT100" i="8"/>
  <c r="GT101" i="8"/>
  <c r="GT102" i="8"/>
  <c r="GT103" i="8"/>
  <c r="GT104" i="8"/>
  <c r="GT105" i="8"/>
  <c r="GT106" i="8"/>
  <c r="GT107" i="8"/>
  <c r="GT108" i="8"/>
  <c r="GT109" i="8"/>
  <c r="GT110" i="8"/>
  <c r="GT111" i="8"/>
  <c r="GT112" i="8"/>
  <c r="GT113" i="8"/>
  <c r="GT114" i="8"/>
  <c r="GT115" i="8"/>
  <c r="GT116" i="8"/>
  <c r="GT117" i="8"/>
  <c r="GT118" i="8"/>
  <c r="GT119" i="8"/>
  <c r="GT120" i="8"/>
  <c r="GT121" i="8"/>
  <c r="GT122" i="8"/>
  <c r="GT123" i="8"/>
  <c r="GT124" i="8"/>
  <c r="GT125" i="8"/>
  <c r="GT126" i="8"/>
  <c r="GT127" i="8"/>
  <c r="GT128" i="8"/>
  <c r="GT129" i="8"/>
  <c r="GT130" i="8"/>
  <c r="GT131" i="8"/>
  <c r="GT132" i="8"/>
  <c r="GT133" i="8"/>
  <c r="GT134" i="8"/>
  <c r="GT135" i="8"/>
  <c r="GT136" i="8"/>
  <c r="GT137" i="8"/>
  <c r="GT138" i="8"/>
  <c r="GT139" i="8"/>
  <c r="GT140" i="8"/>
  <c r="GT141" i="8"/>
  <c r="GT142" i="8"/>
  <c r="GT143" i="8"/>
  <c r="GT144" i="8"/>
  <c r="GT145" i="8"/>
  <c r="GT146" i="8"/>
  <c r="GT147" i="8"/>
  <c r="GT148" i="8"/>
  <c r="GT149" i="8"/>
  <c r="GT150" i="8"/>
  <c r="GT151" i="8"/>
  <c r="GT152" i="8"/>
  <c r="GT153" i="8"/>
  <c r="GT154" i="8"/>
  <c r="GT155" i="8"/>
  <c r="GT156" i="8"/>
  <c r="GT157" i="8"/>
  <c r="GT158" i="8"/>
  <c r="GT159" i="8"/>
  <c r="GT160" i="8"/>
  <c r="GT161" i="8"/>
  <c r="GT162" i="8"/>
  <c r="GT163" i="8"/>
  <c r="GT164" i="8"/>
  <c r="GT165" i="8"/>
  <c r="GT166" i="8"/>
  <c r="GT167" i="8"/>
  <c r="GT168" i="8"/>
  <c r="GT169" i="8"/>
  <c r="GT170" i="8"/>
  <c r="GT171" i="8"/>
  <c r="GT172" i="8"/>
  <c r="GT173" i="8"/>
  <c r="GT174" i="8"/>
  <c r="GT175" i="8"/>
  <c r="GT176" i="8"/>
  <c r="GT177" i="8"/>
  <c r="GT178" i="8"/>
  <c r="GT179" i="8"/>
  <c r="GT80" i="8"/>
  <c r="GT81" i="8"/>
  <c r="GT82" i="8"/>
  <c r="GT84" i="8"/>
  <c r="GT85" i="8"/>
  <c r="GT86" i="8"/>
  <c r="GT87" i="8"/>
  <c r="GT88" i="8"/>
  <c r="GT89" i="8"/>
  <c r="FY179" i="8"/>
  <c r="FV179" i="8"/>
  <c r="FQ179" i="8"/>
  <c r="FS179" i="8" s="1"/>
  <c r="EF170" i="8"/>
  <c r="EG170" i="8" s="1"/>
  <c r="DQ170" i="8"/>
  <c r="DT170" i="8"/>
  <c r="GX94" i="8" l="1"/>
  <c r="FU179" i="8"/>
  <c r="FW179" i="8" s="1"/>
  <c r="FT179" i="8"/>
  <c r="EE170" i="8"/>
  <c r="DU170" i="8"/>
  <c r="DW170" i="8"/>
  <c r="DR171" i="8" s="1"/>
  <c r="EA170" i="8" l="1"/>
  <c r="DV170" i="8"/>
  <c r="DX170" i="8" s="1"/>
  <c r="DZ170" i="8" l="1"/>
  <c r="EB170" i="8" s="1"/>
  <c r="DS171" i="8" s="1"/>
  <c r="DY170" i="8"/>
  <c r="ED170" i="8" l="1"/>
  <c r="EF171" i="8"/>
  <c r="EG171" i="8" s="1"/>
  <c r="DQ171" i="8"/>
  <c r="DT171" i="8"/>
  <c r="EE171" i="8" l="1"/>
  <c r="DW171" i="8"/>
  <c r="EA171" i="8" s="1"/>
  <c r="DU171" i="8"/>
  <c r="DR172" i="8" l="1"/>
  <c r="DV171" i="8"/>
  <c r="DX171" i="8" s="1"/>
  <c r="DZ171" i="8" l="1"/>
  <c r="DY171" i="8"/>
  <c r="EB171" i="8" l="1"/>
  <c r="DS172" i="8" s="1"/>
  <c r="ED171" i="8"/>
  <c r="EF172" i="8" l="1"/>
  <c r="EG172" i="8" s="1"/>
  <c r="DQ172" i="8"/>
  <c r="DT172" i="8"/>
  <c r="DU172" i="8" l="1"/>
  <c r="DW172" i="8"/>
  <c r="EA172" i="8" s="1"/>
  <c r="EE172" i="8"/>
  <c r="DR173" i="8" l="1"/>
  <c r="DV172" i="8"/>
  <c r="DX172" i="8" s="1"/>
  <c r="DZ172" i="8" l="1"/>
  <c r="DY172" i="8"/>
  <c r="EB172" i="8" l="1"/>
  <c r="DS173" i="8" s="1"/>
  <c r="ED172" i="8"/>
  <c r="EF173" i="8" l="1"/>
  <c r="EG173" i="8" s="1"/>
  <c r="DQ173" i="8"/>
  <c r="DT173" i="8"/>
  <c r="DU173" i="8" l="1"/>
  <c r="EE173" i="8"/>
  <c r="DW173" i="8"/>
  <c r="DR174" i="8" s="1"/>
  <c r="EA173" i="8" l="1"/>
  <c r="DV173" i="8"/>
  <c r="DX173" i="8" s="1"/>
  <c r="DZ173" i="8" l="1"/>
  <c r="ED173" i="8" s="1"/>
  <c r="DY173" i="8"/>
  <c r="EB173" i="8"/>
  <c r="DS174" i="8" s="1"/>
  <c r="EF174" i="8" l="1"/>
  <c r="EG174" i="8" s="1"/>
  <c r="DQ174" i="8"/>
  <c r="DT174" i="8"/>
  <c r="DW174" i="8" l="1"/>
  <c r="DR175" i="8" s="1"/>
  <c r="DU174" i="8"/>
  <c r="EE174" i="8"/>
  <c r="DV174" i="8" l="1"/>
  <c r="DX174" i="8" s="1"/>
  <c r="EA174" i="8"/>
  <c r="DZ174" i="8" l="1"/>
  <c r="EB174" i="8" s="1"/>
  <c r="DS175" i="8" s="1"/>
  <c r="DY174" i="8"/>
  <c r="EF175" i="8" l="1"/>
  <c r="EG175" i="8" s="1"/>
  <c r="DQ175" i="8"/>
  <c r="DT175" i="8"/>
  <c r="ED174" i="8"/>
  <c r="DU175" i="8" l="1"/>
  <c r="DW175" i="8"/>
  <c r="DR176" i="8" s="1"/>
  <c r="EE175" i="8"/>
  <c r="EA175" i="8" l="1"/>
  <c r="DV175" i="8"/>
  <c r="DX175" i="8" s="1"/>
  <c r="DZ175" i="8" l="1"/>
  <c r="ED175" i="8" s="1"/>
  <c r="DY175" i="8"/>
  <c r="EB175" i="8"/>
  <c r="DS176" i="8" s="1"/>
  <c r="EF176" i="8" l="1"/>
  <c r="EG176" i="8" s="1"/>
  <c r="DQ176" i="8"/>
  <c r="DT176" i="8"/>
  <c r="EE176" i="8" l="1"/>
  <c r="DW176" i="8"/>
  <c r="DR177" i="8" s="1"/>
  <c r="DU176" i="8"/>
  <c r="DV176" i="8" l="1"/>
  <c r="DX176" i="8" s="1"/>
  <c r="EA176" i="8"/>
  <c r="DZ176" i="8" l="1"/>
  <c r="EB176" i="8" s="1"/>
  <c r="DS177" i="8" s="1"/>
  <c r="DY176" i="8"/>
  <c r="EF177" i="8" l="1"/>
  <c r="EG177" i="8" s="1"/>
  <c r="DQ177" i="8"/>
  <c r="DT177" i="8"/>
  <c r="ED176" i="8"/>
  <c r="DU177" i="8" l="1"/>
  <c r="EE177" i="8"/>
  <c r="DW177" i="8"/>
  <c r="DR178" i="8" s="1"/>
  <c r="EA177" i="8" l="1"/>
  <c r="DV177" i="8"/>
  <c r="DX177" i="8" s="1"/>
  <c r="DZ177" i="8" l="1"/>
  <c r="ED177" i="8" s="1"/>
  <c r="DY177" i="8"/>
  <c r="EB177" i="8" l="1"/>
  <c r="DS178" i="8" s="1"/>
  <c r="EF178" i="8" s="1"/>
  <c r="EG178" i="8" s="1"/>
  <c r="DT178" i="8" l="1"/>
  <c r="DW178" i="8" s="1"/>
  <c r="DR179" i="8" s="1"/>
  <c r="DQ178" i="8"/>
  <c r="DU178" i="8" l="1"/>
  <c r="DV178" i="8" s="1"/>
  <c r="DX178" i="8" s="1"/>
  <c r="EE178" i="8"/>
  <c r="EA178" i="8"/>
  <c r="DZ178" i="8" l="1"/>
  <c r="DY178" i="8"/>
  <c r="ED178" i="8" l="1"/>
  <c r="EB178" i="8"/>
  <c r="DS179" i="8" s="1"/>
  <c r="EF179" i="8" l="1"/>
  <c r="EG179" i="8" s="1"/>
  <c r="EK96" i="8" s="1"/>
  <c r="DQ179" i="8"/>
  <c r="DT179" i="8"/>
  <c r="EE179" i="8" l="1"/>
  <c r="DU179" i="8"/>
  <c r="DW179" i="8"/>
  <c r="EA179" i="8" l="1"/>
  <c r="DV179" i="8"/>
  <c r="DX179" i="8" s="1"/>
  <c r="DZ179" i="8" l="1"/>
  <c r="ED179" i="8" s="1"/>
  <c r="DY179" i="8"/>
  <c r="EB179" i="8" l="1"/>
  <c r="GX96" i="8"/>
  <c r="GK81" i="8" l="1"/>
  <c r="GO81" i="8"/>
  <c r="GP81" i="8" s="1"/>
  <c r="GQ81" i="8" l="1"/>
  <c r="GR81" i="8" s="1"/>
  <c r="GM82" i="8" s="1"/>
  <c r="GN82" i="8" s="1"/>
  <c r="GL83" i="8" l="1"/>
  <c r="GO82" i="8"/>
  <c r="GK82" i="8"/>
  <c r="GS81" i="8"/>
  <c r="GP82" i="8" l="1"/>
  <c r="GQ82" i="8" s="1"/>
  <c r="GR82" i="8" s="1"/>
  <c r="GM83" i="8" s="1"/>
  <c r="GN83" i="8" s="1"/>
  <c r="GO83" i="8" l="1"/>
  <c r="GP83" i="8" s="1"/>
  <c r="GQ83" i="8" s="1"/>
  <c r="GR83" i="8" s="1"/>
  <c r="GM84" i="8" s="1"/>
  <c r="GL84" i="8"/>
  <c r="GK83" i="8"/>
  <c r="GS82" i="8"/>
  <c r="GS83" i="8" l="1"/>
  <c r="GK84" i="8"/>
  <c r="GN84" i="8"/>
  <c r="GL85" i="8" l="1"/>
  <c r="GO84" i="8"/>
  <c r="GP84" i="8" s="1"/>
  <c r="GQ84" i="8" s="1"/>
  <c r="GR84" i="8" l="1"/>
  <c r="GM85" i="8" s="1"/>
  <c r="GK85" i="8" s="1"/>
  <c r="GS84" i="8"/>
  <c r="GN85" i="8" l="1"/>
  <c r="GO85" i="8" s="1"/>
  <c r="GP85" i="8" s="1"/>
  <c r="GQ85" i="8" s="1"/>
  <c r="GR85" i="8" s="1"/>
  <c r="GM86" i="8" s="1"/>
  <c r="GK86" i="8" s="1"/>
  <c r="GL86" i="8" l="1"/>
  <c r="GN86" i="8" s="1"/>
  <c r="GS85" i="8"/>
  <c r="GL87" i="8" l="1"/>
  <c r="GO86" i="8"/>
  <c r="GP86" i="8" s="1"/>
  <c r="GQ86" i="8" s="1"/>
  <c r="GR86" i="8" s="1"/>
  <c r="GM87" i="8" s="1"/>
  <c r="GN87" i="8" l="1"/>
  <c r="GK87" i="8"/>
  <c r="GS86" i="8"/>
  <c r="GL88" i="8" l="1"/>
  <c r="GO87" i="8"/>
  <c r="GP87" i="8" s="1"/>
  <c r="GQ87" i="8" s="1"/>
  <c r="GR87" i="8" s="1"/>
  <c r="GM88" i="8" s="1"/>
  <c r="GN88" i="8" s="1"/>
  <c r="GS87" i="8" l="1"/>
  <c r="GL89" i="8"/>
  <c r="GO88" i="8"/>
  <c r="GP88" i="8" s="1"/>
  <c r="GQ88" i="8" s="1"/>
  <c r="GR88" i="8" s="1"/>
  <c r="GM89" i="8" s="1"/>
  <c r="GN89" i="8" s="1"/>
  <c r="GK88" i="8"/>
  <c r="EN122" i="8" l="1"/>
  <c r="GJ122" i="8"/>
  <c r="GK89" i="8"/>
  <c r="GO89" i="8"/>
  <c r="GP89" i="8" s="1"/>
  <c r="GQ89" i="8" s="1"/>
  <c r="GR89" i="8" s="1"/>
  <c r="GM90" i="8" s="1"/>
  <c r="GL90" i="8"/>
  <c r="GS88" i="8"/>
  <c r="FK122" i="8" l="1"/>
  <c r="DP122" i="8"/>
  <c r="GS89" i="8"/>
  <c r="GN90" i="8"/>
  <c r="GK90" i="8"/>
  <c r="GO90" i="8" l="1"/>
  <c r="GP90" i="8" s="1"/>
  <c r="GQ90" i="8" s="1"/>
  <c r="GL91" i="8"/>
  <c r="GR90" i="8" l="1"/>
  <c r="GM91" i="8" s="1"/>
  <c r="GK91" i="8" s="1"/>
  <c r="GS90" i="8"/>
  <c r="GN91" i="8" l="1"/>
  <c r="GL92" i="8" l="1"/>
  <c r="GO91" i="8"/>
  <c r="GP91" i="8" s="1"/>
  <c r="GQ91" i="8" s="1"/>
  <c r="GR91" i="8" l="1"/>
  <c r="GM92" i="8" s="1"/>
  <c r="GS91" i="8"/>
  <c r="GN92" i="8" l="1"/>
  <c r="GK92" i="8"/>
  <c r="GJ95" i="8" l="1"/>
  <c r="EN95" i="8"/>
  <c r="GO92" i="8"/>
  <c r="GP92" i="8" s="1"/>
  <c r="GQ92" i="8" s="1"/>
  <c r="GL93" i="8"/>
  <c r="DP95" i="8" l="1"/>
  <c r="FK95" i="8"/>
  <c r="GR92" i="8"/>
  <c r="GM93" i="8" s="1"/>
  <c r="GK93" i="8" s="1"/>
  <c r="GS92" i="8"/>
  <c r="GN93" i="8" l="1"/>
  <c r="GL94" i="8" l="1"/>
  <c r="GO93" i="8"/>
  <c r="EN100" i="8" l="1"/>
  <c r="GJ100" i="8"/>
  <c r="GP93" i="8"/>
  <c r="GQ93" i="8" s="1"/>
  <c r="FK100" i="8" l="1"/>
  <c r="DP100" i="8"/>
  <c r="GR93" i="8"/>
  <c r="GM94" i="8" s="1"/>
  <c r="GS93" i="8"/>
  <c r="GN94" i="8" l="1"/>
  <c r="GK94" i="8"/>
  <c r="GO94" i="8" l="1"/>
  <c r="GP94" i="8" s="1"/>
  <c r="GQ94" i="8" s="1"/>
  <c r="GL95" i="8"/>
  <c r="EN84" i="8" l="1"/>
  <c r="GJ84" i="8"/>
  <c r="GJ106" i="8"/>
  <c r="EN106" i="8"/>
  <c r="GR94" i="8"/>
  <c r="GM95" i="8" s="1"/>
  <c r="GK95" i="8" s="1"/>
  <c r="GS94" i="8"/>
  <c r="GN95" i="8" l="1"/>
  <c r="EN89" i="8" l="1"/>
  <c r="GJ89" i="8"/>
  <c r="FK84" i="8"/>
  <c r="DP84" i="8"/>
  <c r="FK106" i="8"/>
  <c r="DP106" i="8"/>
  <c r="GL96" i="8"/>
  <c r="GO95" i="8"/>
  <c r="GP95" i="8" s="1"/>
  <c r="GQ95" i="8" s="1"/>
  <c r="GR95" i="8" l="1"/>
  <c r="GM96" i="8" s="1"/>
  <c r="GS95" i="8"/>
  <c r="FK89" i="8" l="1"/>
  <c r="DP89" i="8"/>
  <c r="GN96" i="8"/>
  <c r="GK96" i="8"/>
  <c r="GL97" i="8" l="1"/>
  <c r="GO96" i="8"/>
  <c r="GP96" i="8" s="1"/>
  <c r="GQ96" i="8" s="1"/>
  <c r="GJ96" i="8" l="1"/>
  <c r="EN96" i="8"/>
  <c r="GR96" i="8"/>
  <c r="GM97" i="8" s="1"/>
  <c r="GK97" i="8" s="1"/>
  <c r="GS96" i="8"/>
  <c r="GN97" i="8" l="1"/>
  <c r="GL98" i="8" s="1"/>
  <c r="FK96" i="8" l="1"/>
  <c r="DP96" i="8"/>
  <c r="GO97" i="8"/>
  <c r="GP97" i="8" s="1"/>
  <c r="GQ97" i="8" s="1"/>
  <c r="GR97" i="8" s="1"/>
  <c r="GM98" i="8" s="1"/>
  <c r="GK98" i="8" s="1"/>
  <c r="GS97" i="8" l="1"/>
  <c r="GN98" i="8"/>
  <c r="GO98" i="8" s="1"/>
  <c r="GP98" i="8" s="1"/>
  <c r="GQ98" i="8" s="1"/>
  <c r="GR98" i="8" s="1"/>
  <c r="GM99" i="8" s="1"/>
  <c r="GK99" i="8" s="1"/>
  <c r="EN90" i="8" l="1"/>
  <c r="GJ90" i="8"/>
  <c r="GJ91" i="8"/>
  <c r="EN91" i="8"/>
  <c r="GL99" i="8"/>
  <c r="GN99" i="8" s="1"/>
  <c r="GS98" i="8"/>
  <c r="GL100" i="8" l="1"/>
  <c r="GO99" i="8"/>
  <c r="GP99" i="8" s="1"/>
  <c r="GQ99" i="8" s="1"/>
  <c r="GR99" i="8" s="1"/>
  <c r="GM100" i="8" s="1"/>
  <c r="GK100" i="8" s="1"/>
  <c r="GN100" i="8" l="1"/>
  <c r="GS99" i="8"/>
  <c r="DP90" i="8" l="1"/>
  <c r="FK90" i="8"/>
  <c r="DP91" i="8"/>
  <c r="FK91" i="8"/>
  <c r="GO100" i="8"/>
  <c r="GP100" i="8" s="1"/>
  <c r="GQ100" i="8" s="1"/>
  <c r="GR100" i="8" s="1"/>
  <c r="GM101" i="8" s="1"/>
  <c r="GK101" i="8" s="1"/>
  <c r="GL101" i="8"/>
  <c r="GN101" i="8" l="1"/>
  <c r="GL102" i="8" s="1"/>
  <c r="GS100" i="8"/>
  <c r="GJ102" i="8" l="1"/>
  <c r="EN102" i="8"/>
  <c r="GO101" i="8"/>
  <c r="GP101" i="8" s="1"/>
  <c r="GQ101" i="8" s="1"/>
  <c r="GR101" i="8" s="1"/>
  <c r="GM102" i="8" s="1"/>
  <c r="GN102" i="8" s="1"/>
  <c r="GS101" i="8" l="1"/>
  <c r="GO102" i="8"/>
  <c r="GP102" i="8" s="1"/>
  <c r="GQ102" i="8" s="1"/>
  <c r="GR102" i="8" s="1"/>
  <c r="GM103" i="8" s="1"/>
  <c r="GL103" i="8"/>
  <c r="GK102" i="8"/>
  <c r="EN99" i="8" l="1"/>
  <c r="GJ99" i="8"/>
  <c r="GS102" i="8"/>
  <c r="GK103" i="8"/>
  <c r="GN103" i="8"/>
  <c r="GO103" i="8" s="1"/>
  <c r="GP103" i="8" s="1"/>
  <c r="GQ103" i="8" s="1"/>
  <c r="GR103" i="8" s="1"/>
  <c r="GM104" i="8" s="1"/>
  <c r="GK104" i="8" s="1"/>
  <c r="FK102" i="8" l="1"/>
  <c r="DP102" i="8"/>
  <c r="GL104" i="8"/>
  <c r="GN104" i="8" s="1"/>
  <c r="GL105" i="8" s="1"/>
  <c r="GS103" i="8"/>
  <c r="EN103" i="8" l="1"/>
  <c r="GJ103" i="8"/>
  <c r="GO104" i="8"/>
  <c r="GP104" i="8" s="1"/>
  <c r="GQ104" i="8" s="1"/>
  <c r="GR104" i="8" s="1"/>
  <c r="GM105" i="8" s="1"/>
  <c r="GN105" i="8" s="1"/>
  <c r="GO105" i="8" s="1"/>
  <c r="GP105" i="8" s="1"/>
  <c r="GQ105" i="8" s="1"/>
  <c r="GR105" i="8" s="1"/>
  <c r="GM106" i="8" s="1"/>
  <c r="GS104" i="8" l="1"/>
  <c r="GS105" i="8" s="1"/>
  <c r="GK105" i="8"/>
  <c r="GK106" i="8" s="1"/>
  <c r="GL106" i="8"/>
  <c r="GN106" i="8" s="1"/>
  <c r="GO106" i="8" s="1"/>
  <c r="GP106" i="8" s="1"/>
  <c r="GQ106" i="8" s="1"/>
  <c r="GJ82" i="8" l="1"/>
  <c r="EN82" i="8"/>
  <c r="EX82" i="8" s="1"/>
  <c r="EX83" i="8" s="1"/>
  <c r="EX84" i="8" s="1"/>
  <c r="EX85" i="8" s="1"/>
  <c r="EX86" i="8" s="1"/>
  <c r="EX87" i="8" s="1"/>
  <c r="EX88" i="8" s="1"/>
  <c r="EX89" i="8" s="1"/>
  <c r="EX90" i="8" s="1"/>
  <c r="EX91" i="8" s="1"/>
  <c r="EX92" i="8" s="1"/>
  <c r="GJ97" i="8"/>
  <c r="EN97" i="8"/>
  <c r="EN101" i="8"/>
  <c r="GJ101" i="8"/>
  <c r="GL107" i="8"/>
  <c r="GR106" i="8"/>
  <c r="GM107" i="8" s="1"/>
  <c r="GK107" i="8" s="1"/>
  <c r="GS106" i="8"/>
  <c r="EN93" i="8" l="1"/>
  <c r="EX93" i="8" s="1"/>
  <c r="EX94" i="8" s="1"/>
  <c r="EX95" i="8" s="1"/>
  <c r="EX96" i="8" s="1"/>
  <c r="GJ93" i="8"/>
  <c r="GN107" i="8"/>
  <c r="FB94" i="8" l="1"/>
  <c r="FB91" i="8" s="1"/>
  <c r="FB92" i="8" s="1"/>
  <c r="FB93" i="8" s="1"/>
  <c r="EX97" i="8"/>
  <c r="EX98" i="8" s="1"/>
  <c r="EX99" i="8" s="1"/>
  <c r="EX100" i="8" s="1"/>
  <c r="EX101" i="8" s="1"/>
  <c r="EX102" i="8" s="1"/>
  <c r="EX103" i="8" s="1"/>
  <c r="EX104" i="8" s="1"/>
  <c r="EX105" i="8" s="1"/>
  <c r="EX106" i="8" s="1"/>
  <c r="EX107" i="8" s="1"/>
  <c r="EX108" i="8" s="1"/>
  <c r="EX109" i="8" s="1"/>
  <c r="EX110" i="8" s="1"/>
  <c r="EX111" i="8" s="1"/>
  <c r="EX112" i="8" s="1"/>
  <c r="EX113" i="8" s="1"/>
  <c r="EX114" i="8" s="1"/>
  <c r="EX115" i="8" s="1"/>
  <c r="EX116" i="8" s="1"/>
  <c r="EX117" i="8" s="1"/>
  <c r="EX118" i="8" s="1"/>
  <c r="EX119" i="8" s="1"/>
  <c r="EX120" i="8" s="1"/>
  <c r="EX121" i="8" s="1"/>
  <c r="EX122" i="8" s="1"/>
  <c r="EX123" i="8" s="1"/>
  <c r="EX124" i="8" s="1"/>
  <c r="EX125" i="8" s="1"/>
  <c r="EX126" i="8" s="1"/>
  <c r="EX127" i="8" s="1"/>
  <c r="EX128" i="8" s="1"/>
  <c r="EX129" i="8" s="1"/>
  <c r="EX130" i="8" s="1"/>
  <c r="EX131" i="8" s="1"/>
  <c r="EX132" i="8" s="1"/>
  <c r="EX133" i="8" s="1"/>
  <c r="EX134" i="8" s="1"/>
  <c r="EX135" i="8" s="1"/>
  <c r="EX136" i="8" s="1"/>
  <c r="EX137" i="8" s="1"/>
  <c r="EX138" i="8" s="1"/>
  <c r="EX139" i="8" s="1"/>
  <c r="EX140" i="8" s="1"/>
  <c r="EX141" i="8" s="1"/>
  <c r="EX142" i="8" s="1"/>
  <c r="EX143" i="8" s="1"/>
  <c r="EX144" i="8" s="1"/>
  <c r="EX145" i="8" s="1"/>
  <c r="EX146" i="8" s="1"/>
  <c r="EX147" i="8" s="1"/>
  <c r="EX148" i="8" s="1"/>
  <c r="EX149" i="8" s="1"/>
  <c r="EX150" i="8" s="1"/>
  <c r="EX151" i="8" s="1"/>
  <c r="EX152" i="8" s="1"/>
  <c r="EX153" i="8" s="1"/>
  <c r="EX154" i="8" s="1"/>
  <c r="EX155" i="8" s="1"/>
  <c r="EX156" i="8" s="1"/>
  <c r="EX157" i="8" s="1"/>
  <c r="EX158" i="8" s="1"/>
  <c r="EX159" i="8" s="1"/>
  <c r="EX160" i="8" s="1"/>
  <c r="EX161" i="8" s="1"/>
  <c r="EX162" i="8" s="1"/>
  <c r="EX163" i="8" s="1"/>
  <c r="EX164" i="8" s="1"/>
  <c r="EX165" i="8" s="1"/>
  <c r="EX166" i="8" s="1"/>
  <c r="EX167" i="8" s="1"/>
  <c r="EX168" i="8" s="1"/>
  <c r="EX169" i="8" s="1"/>
  <c r="EX170" i="8" s="1"/>
  <c r="EX171" i="8" s="1"/>
  <c r="EX172" i="8" s="1"/>
  <c r="EX173" i="8" s="1"/>
  <c r="EX174" i="8" s="1"/>
  <c r="EX175" i="8" s="1"/>
  <c r="EX176" i="8" s="1"/>
  <c r="EX177" i="8" s="1"/>
  <c r="EX178" i="8" s="1"/>
  <c r="EX179" i="8" s="1"/>
  <c r="EX180" i="8" s="1"/>
  <c r="GL108" i="8"/>
  <c r="GO107" i="8"/>
  <c r="GP107" i="8" s="1"/>
  <c r="GQ107" i="8" s="1"/>
  <c r="EN98" i="8" l="1"/>
  <c r="FB95" i="8"/>
  <c r="GJ98" i="8"/>
  <c r="GR107" i="8"/>
  <c r="GM108" i="8" s="1"/>
  <c r="GS107" i="8"/>
  <c r="GN108" i="8" l="1"/>
  <c r="GK108" i="8"/>
  <c r="GL109" i="8" l="1"/>
  <c r="GO108" i="8"/>
  <c r="GP108" i="8" s="1"/>
  <c r="GQ108" i="8" s="1"/>
  <c r="GR108" i="8" l="1"/>
  <c r="GM109" i="8" s="1"/>
  <c r="GS108" i="8"/>
  <c r="GN109" i="8" l="1"/>
  <c r="GK109" i="8"/>
  <c r="GL110" i="8" l="1"/>
  <c r="GO109" i="8"/>
  <c r="GP109" i="8" s="1"/>
  <c r="GQ109" i="8" s="1"/>
  <c r="GR109" i="8" l="1"/>
  <c r="GM110" i="8" s="1"/>
  <c r="GK110" i="8" s="1"/>
  <c r="GS109" i="8"/>
  <c r="GN110" i="8" l="1"/>
  <c r="GL111" i="8" s="1"/>
  <c r="GO110" i="8" l="1"/>
  <c r="GP110" i="8" s="1"/>
  <c r="GQ110" i="8" s="1"/>
  <c r="GR110" i="8" s="1"/>
  <c r="GM111" i="8" s="1"/>
  <c r="GK111" i="8" s="1"/>
  <c r="GS110" i="8" l="1"/>
  <c r="GN111" i="8"/>
  <c r="GL112" i="8" s="1"/>
  <c r="GO111" i="8" l="1"/>
  <c r="GP111" i="8" s="1"/>
  <c r="GQ111" i="8" s="1"/>
  <c r="GR111" i="8" s="1"/>
  <c r="GM112" i="8" s="1"/>
  <c r="GK112" i="8" s="1"/>
  <c r="GS111" i="8" l="1"/>
  <c r="GN112" i="8"/>
  <c r="GO112" i="8" s="1"/>
  <c r="GP112" i="8" s="1"/>
  <c r="GQ112" i="8" s="1"/>
  <c r="GR112" i="8" s="1"/>
  <c r="GM113" i="8" s="1"/>
  <c r="GL113" i="8" l="1"/>
  <c r="GN113" i="8" s="1"/>
  <c r="GK113" i="8"/>
  <c r="GS112" i="8"/>
  <c r="GL114" i="8" l="1"/>
  <c r="GO113" i="8"/>
  <c r="GP113" i="8" s="1"/>
  <c r="GQ113" i="8" s="1"/>
  <c r="GR113" i="8" s="1"/>
  <c r="GM114" i="8" s="1"/>
  <c r="GK114" i="8" s="1"/>
  <c r="GN114" i="8" l="1"/>
  <c r="GS113" i="8"/>
  <c r="GO114" i="8" l="1"/>
  <c r="GP114" i="8" s="1"/>
  <c r="GQ114" i="8" s="1"/>
  <c r="GR114" i="8" s="1"/>
  <c r="GM115" i="8" s="1"/>
  <c r="GK115" i="8" s="1"/>
  <c r="GL115" i="8"/>
  <c r="GN115" i="8" l="1"/>
  <c r="GO115" i="8" s="1"/>
  <c r="GP115" i="8" s="1"/>
  <c r="GQ115" i="8" s="1"/>
  <c r="GR115" i="8" s="1"/>
  <c r="GM116" i="8" s="1"/>
  <c r="GS114" i="8"/>
  <c r="GL116" i="8" l="1"/>
  <c r="GN116" i="8" s="1"/>
  <c r="GS115" i="8"/>
  <c r="GK116" i="8"/>
  <c r="GO116" i="8" l="1"/>
  <c r="GP116" i="8" s="1"/>
  <c r="GQ116" i="8" s="1"/>
  <c r="GR116" i="8" s="1"/>
  <c r="GM117" i="8" s="1"/>
  <c r="GK117" i="8" s="1"/>
  <c r="GL117" i="8"/>
  <c r="GS116" i="8" l="1"/>
  <c r="GN117" i="8"/>
  <c r="GL118" i="8" s="1"/>
  <c r="GO117" i="8" l="1"/>
  <c r="GP117" i="8" s="1"/>
  <c r="GQ117" i="8" s="1"/>
  <c r="GR117" i="8" s="1"/>
  <c r="GM118" i="8" s="1"/>
  <c r="GN118" i="8" s="1"/>
  <c r="GS117" i="8" l="1"/>
  <c r="GK118" i="8"/>
  <c r="GL119" i="8"/>
  <c r="GO118" i="8"/>
  <c r="GP118" i="8" s="1"/>
  <c r="GQ118" i="8" s="1"/>
  <c r="GR118" i="8" s="1"/>
  <c r="GM119" i="8" s="1"/>
  <c r="GK119" i="8" s="1"/>
  <c r="GN119" i="8" l="1"/>
  <c r="GS118" i="8"/>
  <c r="GO119" i="8" l="1"/>
  <c r="GP119" i="8" s="1"/>
  <c r="GQ119" i="8" s="1"/>
  <c r="GR119" i="8" s="1"/>
  <c r="GM120" i="8" s="1"/>
  <c r="GK120" i="8" s="1"/>
  <c r="GL120" i="8"/>
  <c r="GN120" i="8" l="1"/>
  <c r="GL121" i="8" s="1"/>
  <c r="GS119" i="8"/>
  <c r="GO120" i="8" l="1"/>
  <c r="GP120" i="8" s="1"/>
  <c r="GQ120" i="8" s="1"/>
  <c r="GR120" i="8" s="1"/>
  <c r="GM121" i="8" s="1"/>
  <c r="GK121" i="8" s="1"/>
  <c r="GN121" i="8" l="1"/>
  <c r="GL122" i="8" s="1"/>
  <c r="GS120" i="8"/>
  <c r="GO121" i="8" l="1"/>
  <c r="GP121" i="8" s="1"/>
  <c r="GQ121" i="8" s="1"/>
  <c r="GR121" i="8" s="1"/>
  <c r="GM122" i="8" s="1"/>
  <c r="GK122" i="8" s="1"/>
  <c r="GS121" i="8" l="1"/>
  <c r="GN122" i="8"/>
  <c r="GO122" i="8" s="1"/>
  <c r="GP122" i="8" s="1"/>
  <c r="GQ122" i="8" s="1"/>
  <c r="GR122" i="8" s="1"/>
  <c r="GM123" i="8" s="1"/>
  <c r="GK123" i="8" s="1"/>
  <c r="GL123" i="8" l="1"/>
  <c r="GN123" i="8" s="1"/>
  <c r="GO123" i="8" s="1"/>
  <c r="GP123" i="8" s="1"/>
  <c r="GQ123" i="8" s="1"/>
  <c r="GR123" i="8" s="1"/>
  <c r="GM124" i="8" s="1"/>
  <c r="GK124" i="8" s="1"/>
  <c r="GS122" i="8"/>
  <c r="GL124" i="8" l="1"/>
  <c r="GN124" i="8" s="1"/>
  <c r="GL125" i="8" s="1"/>
  <c r="GS123" i="8"/>
  <c r="GO124" i="8" l="1"/>
  <c r="GP124" i="8" s="1"/>
  <c r="GQ124" i="8" s="1"/>
  <c r="GR124" i="8" s="1"/>
  <c r="GM125" i="8" s="1"/>
  <c r="GN125" i="8" s="1"/>
  <c r="GK125" i="8" l="1"/>
  <c r="GS124" i="8"/>
  <c r="GL126" i="8"/>
  <c r="GO125" i="8"/>
  <c r="GP125" i="8" s="1"/>
  <c r="GQ125" i="8" s="1"/>
  <c r="GR125" i="8" s="1"/>
  <c r="GM126" i="8" s="1"/>
  <c r="GK126" i="8" s="1"/>
  <c r="GS125" i="8" l="1"/>
  <c r="GN126" i="8"/>
  <c r="GO126" i="8" s="1"/>
  <c r="GP126" i="8" s="1"/>
  <c r="GQ126" i="8" s="1"/>
  <c r="GR126" i="8" s="1"/>
  <c r="GM127" i="8" s="1"/>
  <c r="GK127" i="8" s="1"/>
  <c r="GL127" i="8" l="1"/>
  <c r="GN127" i="8" s="1"/>
  <c r="GO127" i="8" s="1"/>
  <c r="GP127" i="8" s="1"/>
  <c r="GQ127" i="8" s="1"/>
  <c r="GR127" i="8" s="1"/>
  <c r="GM128" i="8" s="1"/>
  <c r="GK128" i="8" s="1"/>
  <c r="GS126" i="8"/>
  <c r="GL128" i="8" l="1"/>
  <c r="GS127" i="8"/>
  <c r="GN128" i="8"/>
  <c r="GO128" i="8" l="1"/>
  <c r="GP128" i="8" s="1"/>
  <c r="GQ128" i="8" s="1"/>
  <c r="GL129" i="8"/>
  <c r="GR128" i="8" l="1"/>
  <c r="GM129" i="8" s="1"/>
  <c r="GK129" i="8" s="1"/>
  <c r="GS128" i="8"/>
  <c r="GN129" i="8" l="1"/>
  <c r="GO129" i="8" l="1"/>
  <c r="GP129" i="8" s="1"/>
  <c r="GQ129" i="8" s="1"/>
  <c r="GL130" i="8"/>
  <c r="GR129" i="8" l="1"/>
  <c r="GM130" i="8" s="1"/>
  <c r="GK130" i="8" s="1"/>
  <c r="GS129" i="8"/>
  <c r="GN130" i="8" l="1"/>
  <c r="GO130" i="8" l="1"/>
  <c r="GP130" i="8" s="1"/>
  <c r="GQ130" i="8" s="1"/>
  <c r="GL131" i="8"/>
  <c r="GR130" i="8" l="1"/>
  <c r="GM131" i="8" s="1"/>
  <c r="GK131" i="8" s="1"/>
  <c r="GS130" i="8"/>
  <c r="GN131" i="8" l="1"/>
  <c r="GO131" i="8" l="1"/>
  <c r="GP131" i="8" s="1"/>
  <c r="GQ131" i="8" s="1"/>
  <c r="GL132" i="8"/>
  <c r="GR131" i="8" l="1"/>
  <c r="GM132" i="8" s="1"/>
  <c r="GK132" i="8" s="1"/>
  <c r="GS131" i="8"/>
  <c r="GN132" i="8" l="1"/>
  <c r="GL133" i="8" l="1"/>
  <c r="GO132" i="8"/>
  <c r="GP132" i="8" s="1"/>
  <c r="GQ132" i="8" s="1"/>
  <c r="GR132" i="8" l="1"/>
  <c r="GM133" i="8" s="1"/>
  <c r="GS132" i="8"/>
  <c r="GN133" i="8" l="1"/>
  <c r="GK133" i="8"/>
  <c r="GO133" i="8" l="1"/>
  <c r="GP133" i="8" s="1"/>
  <c r="GQ133" i="8" s="1"/>
  <c r="GL134" i="8"/>
  <c r="GR133" i="8" l="1"/>
  <c r="GM134" i="8" s="1"/>
  <c r="GK134" i="8" s="1"/>
  <c r="GS133" i="8"/>
  <c r="GN134" i="8" l="1"/>
  <c r="GL135" i="8" l="1"/>
  <c r="GO134" i="8"/>
  <c r="GP134" i="8" s="1"/>
  <c r="GQ134" i="8" s="1"/>
  <c r="GR134" i="8" l="1"/>
  <c r="GM135" i="8" s="1"/>
  <c r="GK135" i="8" s="1"/>
  <c r="GS134" i="8"/>
  <c r="GN135" i="8" l="1"/>
  <c r="GO135" i="8" s="1"/>
  <c r="GP135" i="8" s="1"/>
  <c r="GQ135" i="8" s="1"/>
  <c r="GR135" i="8" s="1"/>
  <c r="GM136" i="8" s="1"/>
  <c r="GK136" i="8" s="1"/>
  <c r="GL136" i="8" l="1"/>
  <c r="GN136" i="8" s="1"/>
  <c r="GL137" i="8" s="1"/>
  <c r="GS135" i="8"/>
  <c r="GO136" i="8" l="1"/>
  <c r="GP136" i="8" s="1"/>
  <c r="GQ136" i="8" s="1"/>
  <c r="GR136" i="8" s="1"/>
  <c r="GM137" i="8" s="1"/>
  <c r="GK137" i="8" s="1"/>
  <c r="GS136" i="8" l="1"/>
  <c r="GN137" i="8"/>
  <c r="GL138" i="8" s="1"/>
  <c r="GO137" i="8" l="1"/>
  <c r="GP137" i="8" s="1"/>
  <c r="GQ137" i="8" s="1"/>
  <c r="GR137" i="8" s="1"/>
  <c r="GM138" i="8" s="1"/>
  <c r="GN138" i="8" s="1"/>
  <c r="GS137" i="8" l="1"/>
  <c r="GK138" i="8"/>
  <c r="GL139" i="8"/>
  <c r="GO138" i="8"/>
  <c r="GP138" i="8" s="1"/>
  <c r="GQ138" i="8" s="1"/>
  <c r="GR138" i="8" s="1"/>
  <c r="GM139" i="8" s="1"/>
  <c r="GN139" i="8" s="1"/>
  <c r="GL140" i="8" l="1"/>
  <c r="GO139" i="8"/>
  <c r="GP139" i="8" s="1"/>
  <c r="GQ139" i="8" s="1"/>
  <c r="GR139" i="8" s="1"/>
  <c r="GM140" i="8" s="1"/>
  <c r="GK139" i="8"/>
  <c r="GS138" i="8"/>
  <c r="GN140" i="8" l="1"/>
  <c r="GL141" i="8" s="1"/>
  <c r="GS139" i="8"/>
  <c r="GK140" i="8"/>
  <c r="GO140" i="8" l="1"/>
  <c r="GP140" i="8" s="1"/>
  <c r="GQ140" i="8" s="1"/>
  <c r="GR140" i="8" s="1"/>
  <c r="GM141" i="8" s="1"/>
  <c r="GK141" i="8" s="1"/>
  <c r="GS140" i="8" l="1"/>
  <c r="GN141" i="8"/>
  <c r="GO141" i="8" s="1"/>
  <c r="GP141" i="8" s="1"/>
  <c r="GQ141" i="8" s="1"/>
  <c r="GR141" i="8" s="1"/>
  <c r="GM142" i="8" s="1"/>
  <c r="GK142" i="8" s="1"/>
  <c r="GL142" i="8" l="1"/>
  <c r="GN142" i="8"/>
  <c r="GO142" i="8" s="1"/>
  <c r="GP142" i="8" s="1"/>
  <c r="GQ142" i="8" s="1"/>
  <c r="GR142" i="8" s="1"/>
  <c r="GM143" i="8" s="1"/>
  <c r="GK143" i="8" s="1"/>
  <c r="GS141" i="8"/>
  <c r="GL143" i="8" l="1"/>
  <c r="GN143" i="8" s="1"/>
  <c r="GL144" i="8" s="1"/>
  <c r="GS142" i="8"/>
  <c r="GO143" i="8" l="1"/>
  <c r="GP143" i="8" s="1"/>
  <c r="GQ143" i="8" s="1"/>
  <c r="GR143" i="8" s="1"/>
  <c r="GM144" i="8" s="1"/>
  <c r="GN144" i="8" s="1"/>
  <c r="GL145" i="8" l="1"/>
  <c r="GO144" i="8"/>
  <c r="GP144" i="8" s="1"/>
  <c r="GQ144" i="8" s="1"/>
  <c r="GR144" i="8" s="1"/>
  <c r="GM145" i="8" s="1"/>
  <c r="GK144" i="8"/>
  <c r="GS143" i="8"/>
  <c r="GN145" i="8" l="1"/>
  <c r="GO145" i="8" s="1"/>
  <c r="GP145" i="8" s="1"/>
  <c r="GQ145" i="8" s="1"/>
  <c r="GR145" i="8" s="1"/>
  <c r="GM146" i="8" s="1"/>
  <c r="GS144" i="8"/>
  <c r="GK145" i="8"/>
  <c r="GL146" i="8" l="1"/>
  <c r="GN146" i="8" s="1"/>
  <c r="GL147" i="8" s="1"/>
  <c r="GS145" i="8"/>
  <c r="GK146" i="8"/>
  <c r="GO146" i="8" l="1"/>
  <c r="GP146" i="8" s="1"/>
  <c r="GQ146" i="8" s="1"/>
  <c r="GR146" i="8" s="1"/>
  <c r="GM147" i="8" s="1"/>
  <c r="GK147" i="8" s="1"/>
  <c r="GN147" i="8" l="1"/>
  <c r="GO147" i="8" s="1"/>
  <c r="GP147" i="8" s="1"/>
  <c r="GQ147" i="8" s="1"/>
  <c r="GR147" i="8" s="1"/>
  <c r="GM148" i="8" s="1"/>
  <c r="GK148" i="8" s="1"/>
  <c r="GS146" i="8"/>
  <c r="GL148" i="8" l="1"/>
  <c r="GS147" i="8"/>
  <c r="GN148" i="8"/>
  <c r="GO148" i="8" l="1"/>
  <c r="GP148" i="8" s="1"/>
  <c r="GQ148" i="8" s="1"/>
  <c r="GL149" i="8"/>
  <c r="GR148" i="8" l="1"/>
  <c r="GM149" i="8" s="1"/>
  <c r="GK149" i="8" s="1"/>
  <c r="GS148" i="8"/>
  <c r="GN149" i="8" l="1"/>
  <c r="GL150" i="8" l="1"/>
  <c r="GO149" i="8"/>
  <c r="GP149" i="8" s="1"/>
  <c r="GQ149" i="8" s="1"/>
  <c r="GR149" i="8" l="1"/>
  <c r="GM150" i="8" s="1"/>
  <c r="GS149" i="8"/>
  <c r="GN150" i="8" l="1"/>
  <c r="GK150" i="8"/>
  <c r="GL151" i="8" l="1"/>
  <c r="GO150" i="8"/>
  <c r="GP150" i="8" s="1"/>
  <c r="GQ150" i="8" s="1"/>
  <c r="GR150" i="8" l="1"/>
  <c r="GM151" i="8" s="1"/>
  <c r="GS150" i="8"/>
  <c r="GN151" i="8" l="1"/>
  <c r="GK151" i="8"/>
  <c r="GL152" i="8" l="1"/>
  <c r="GO151" i="8"/>
  <c r="GP151" i="8" s="1"/>
  <c r="GQ151" i="8" s="1"/>
  <c r="GR151" i="8" l="1"/>
  <c r="GM152" i="8" s="1"/>
  <c r="GK152" i="8" s="1"/>
  <c r="GS151" i="8"/>
  <c r="GN152" i="8" l="1"/>
  <c r="GO152" i="8" s="1"/>
  <c r="GP152" i="8" s="1"/>
  <c r="GQ152" i="8" s="1"/>
  <c r="GR152" i="8" s="1"/>
  <c r="GM153" i="8" s="1"/>
  <c r="GK153" i="8" s="1"/>
  <c r="GL153" i="8" l="1"/>
  <c r="GN153" i="8" s="1"/>
  <c r="GO153" i="8" s="1"/>
  <c r="GP153" i="8" s="1"/>
  <c r="GQ153" i="8" s="1"/>
  <c r="GS152" i="8"/>
  <c r="GL154" i="8" l="1"/>
  <c r="GR153" i="8"/>
  <c r="GM154" i="8" s="1"/>
  <c r="GK154" i="8" s="1"/>
  <c r="GS153" i="8"/>
  <c r="GN154" i="8" l="1"/>
  <c r="GO154" i="8" s="1"/>
  <c r="GP154" i="8" s="1"/>
  <c r="GQ154" i="8" s="1"/>
  <c r="GR154" i="8" s="1"/>
  <c r="GM155" i="8" s="1"/>
  <c r="GK155" i="8" s="1"/>
  <c r="GL155" i="8" l="1"/>
  <c r="GN155" i="8" s="1"/>
  <c r="GS154" i="8"/>
  <c r="GO155" i="8" l="1"/>
  <c r="GP155" i="8" s="1"/>
  <c r="GQ155" i="8" s="1"/>
  <c r="GL156" i="8"/>
  <c r="GR155" i="8" l="1"/>
  <c r="GM156" i="8" s="1"/>
  <c r="GK156" i="8" s="1"/>
  <c r="GS155" i="8"/>
  <c r="GN156" i="8" l="1"/>
  <c r="GO156" i="8" l="1"/>
  <c r="GP156" i="8" s="1"/>
  <c r="GQ156" i="8" s="1"/>
  <c r="GL157" i="8"/>
  <c r="GR156" i="8" l="1"/>
  <c r="GM157" i="8" s="1"/>
  <c r="GK157" i="8" s="1"/>
  <c r="GS156" i="8"/>
  <c r="GN157" i="8" l="1"/>
  <c r="GO157" i="8" l="1"/>
  <c r="GP157" i="8" s="1"/>
  <c r="GQ157" i="8" s="1"/>
  <c r="GL158" i="8"/>
  <c r="GS157" i="8" l="1"/>
  <c r="GR157" i="8"/>
  <c r="GM158" i="8" s="1"/>
  <c r="GK158" i="8" s="1"/>
  <c r="GN158" i="8" l="1"/>
  <c r="GO158" i="8" l="1"/>
  <c r="GP158" i="8" s="1"/>
  <c r="GQ158" i="8" s="1"/>
  <c r="GL159" i="8"/>
  <c r="GR158" i="8" l="1"/>
  <c r="GM159" i="8" s="1"/>
  <c r="GK159" i="8" s="1"/>
  <c r="GS158" i="8"/>
  <c r="GN159" i="8" l="1"/>
  <c r="GO159" i="8" l="1"/>
  <c r="GP159" i="8" s="1"/>
  <c r="GQ159" i="8" s="1"/>
  <c r="GL160" i="8"/>
  <c r="GR159" i="8" l="1"/>
  <c r="GM160" i="8" s="1"/>
  <c r="GK160" i="8" s="1"/>
  <c r="GS159" i="8"/>
  <c r="GN160" i="8" l="1"/>
  <c r="GO160" i="8" l="1"/>
  <c r="GP160" i="8" s="1"/>
  <c r="GQ160" i="8" s="1"/>
  <c r="GL161" i="8"/>
  <c r="GS160" i="8" l="1"/>
  <c r="GR160" i="8"/>
  <c r="GM161" i="8" s="1"/>
  <c r="GK161" i="8" s="1"/>
  <c r="GN161" i="8" l="1"/>
  <c r="GO161" i="8" l="1"/>
  <c r="GP161" i="8" s="1"/>
  <c r="GQ161" i="8" s="1"/>
  <c r="GL162" i="8"/>
  <c r="GR161" i="8" l="1"/>
  <c r="GM162" i="8" s="1"/>
  <c r="GK162" i="8" s="1"/>
  <c r="GS161" i="8"/>
  <c r="GN162" i="8" l="1"/>
  <c r="GO162" i="8" l="1"/>
  <c r="GP162" i="8" s="1"/>
  <c r="GQ162" i="8" s="1"/>
  <c r="GL163" i="8"/>
  <c r="GR162" i="8" l="1"/>
  <c r="GM163" i="8" s="1"/>
  <c r="GK163" i="8" s="1"/>
  <c r="GS162" i="8"/>
  <c r="GN163" i="8" l="1"/>
  <c r="GO163" i="8" l="1"/>
  <c r="GP163" i="8" s="1"/>
  <c r="GQ163" i="8" s="1"/>
  <c r="GL164" i="8"/>
  <c r="GR163" i="8" l="1"/>
  <c r="GM164" i="8" s="1"/>
  <c r="GK164" i="8" s="1"/>
  <c r="GS163" i="8"/>
  <c r="GN164" i="8" l="1"/>
  <c r="GO164" i="8" l="1"/>
  <c r="GP164" i="8" s="1"/>
  <c r="GQ164" i="8" s="1"/>
  <c r="GL165" i="8"/>
  <c r="GR164" i="8" l="1"/>
  <c r="GM165" i="8" s="1"/>
  <c r="GK165" i="8" s="1"/>
  <c r="GS164" i="8"/>
  <c r="GN165" i="8" l="1"/>
  <c r="GL166" i="8" l="1"/>
  <c r="GO165" i="8"/>
  <c r="GP165" i="8" s="1"/>
  <c r="GQ165" i="8" s="1"/>
  <c r="GR165" i="8" l="1"/>
  <c r="GM166" i="8" s="1"/>
  <c r="GK166" i="8" s="1"/>
  <c r="GS165" i="8"/>
  <c r="GN166" i="8" l="1"/>
  <c r="GO166" i="8" s="1"/>
  <c r="GP166" i="8" s="1"/>
  <c r="GQ166" i="8" s="1"/>
  <c r="GR166" i="8" s="1"/>
  <c r="GM167" i="8" s="1"/>
  <c r="GK167" i="8" s="1"/>
  <c r="GL167" i="8" l="1"/>
  <c r="GN167" i="8" s="1"/>
  <c r="GS166" i="8"/>
  <c r="GO167" i="8" l="1"/>
  <c r="GP167" i="8" s="1"/>
  <c r="GQ167" i="8" s="1"/>
  <c r="GR167" i="8" s="1"/>
  <c r="GM168" i="8" s="1"/>
  <c r="GK168" i="8" s="1"/>
  <c r="GL168" i="8"/>
  <c r="GN168" i="8" l="1"/>
  <c r="GS167" i="8"/>
  <c r="GO168" i="8" l="1"/>
  <c r="GP168" i="8" s="1"/>
  <c r="GQ168" i="8" s="1"/>
  <c r="GR168" i="8" s="1"/>
  <c r="GM169" i="8" s="1"/>
  <c r="GK169" i="8" s="1"/>
  <c r="GL169" i="8"/>
  <c r="GN169" i="8" l="1"/>
  <c r="GS168" i="8"/>
  <c r="GL170" i="8" l="1"/>
  <c r="GO169" i="8"/>
  <c r="GP169" i="8" s="1"/>
  <c r="GQ169" i="8" s="1"/>
  <c r="GR169" i="8" s="1"/>
  <c r="GM170" i="8" s="1"/>
  <c r="GK170" i="8" s="1"/>
  <c r="GN170" i="8" l="1"/>
  <c r="GS169" i="8"/>
  <c r="GL171" i="8" l="1"/>
  <c r="GO170" i="8"/>
  <c r="GP170" i="8" s="1"/>
  <c r="GQ170" i="8" s="1"/>
  <c r="GR170" i="8" s="1"/>
  <c r="GM171" i="8" s="1"/>
  <c r="GK171" i="8" s="1"/>
  <c r="GN171" i="8" l="1"/>
  <c r="GS170" i="8"/>
  <c r="GL172" i="8" l="1"/>
  <c r="GO171" i="8"/>
  <c r="GP171" i="8" s="1"/>
  <c r="GQ171" i="8" s="1"/>
  <c r="GR171" i="8" s="1"/>
  <c r="GM172" i="8" s="1"/>
  <c r="GK172" i="8" s="1"/>
  <c r="GN172" i="8" l="1"/>
  <c r="GS171" i="8"/>
  <c r="GO172" i="8" l="1"/>
  <c r="GP172" i="8" s="1"/>
  <c r="GQ172" i="8" s="1"/>
  <c r="GR172" i="8" s="1"/>
  <c r="GM173" i="8" s="1"/>
  <c r="GK173" i="8" s="1"/>
  <c r="GL173" i="8"/>
  <c r="GN173" i="8" l="1"/>
  <c r="GS172" i="8"/>
  <c r="GO173" i="8" l="1"/>
  <c r="GP173" i="8" s="1"/>
  <c r="GQ173" i="8" s="1"/>
  <c r="GR173" i="8" s="1"/>
  <c r="GM174" i="8" s="1"/>
  <c r="GK174" i="8" s="1"/>
  <c r="GL174" i="8"/>
  <c r="GN174" i="8" l="1"/>
  <c r="GS173" i="8"/>
  <c r="GO174" i="8" l="1"/>
  <c r="GP174" i="8" s="1"/>
  <c r="GQ174" i="8" s="1"/>
  <c r="GR174" i="8" s="1"/>
  <c r="GM175" i="8" s="1"/>
  <c r="GK175" i="8" s="1"/>
  <c r="GL175" i="8"/>
  <c r="GN175" i="8" l="1"/>
  <c r="GS174" i="8"/>
  <c r="GL176" i="8" l="1"/>
  <c r="GO175" i="8"/>
  <c r="GP175" i="8" s="1"/>
  <c r="GQ175" i="8" s="1"/>
  <c r="GR175" i="8" s="1"/>
  <c r="GM176" i="8" s="1"/>
  <c r="GK176" i="8" s="1"/>
  <c r="GN176" i="8" l="1"/>
  <c r="GS175" i="8"/>
  <c r="GL177" i="8" l="1"/>
  <c r="GO176" i="8"/>
  <c r="GP176" i="8" s="1"/>
  <c r="GQ176" i="8" s="1"/>
  <c r="GR176" i="8" s="1"/>
  <c r="GM177" i="8" s="1"/>
  <c r="GK177" i="8" s="1"/>
  <c r="GN177" i="8" l="1"/>
  <c r="GS176" i="8"/>
  <c r="GL178" i="8" l="1"/>
  <c r="GO177" i="8"/>
  <c r="GQ177" i="8" l="1"/>
  <c r="GP177" i="8"/>
  <c r="GR177" i="8" l="1"/>
  <c r="GM178" i="8" s="1"/>
  <c r="GS177" i="8"/>
  <c r="GK178" i="8" l="1"/>
  <c r="GN178" i="8"/>
  <c r="GO178" i="8" l="1"/>
  <c r="GP178" i="8" s="1"/>
  <c r="GQ178" i="8" s="1"/>
  <c r="GL179" i="8"/>
  <c r="GR178" i="8" l="1"/>
  <c r="GM179" i="8" s="1"/>
  <c r="GK179" i="8" s="1"/>
  <c r="GS178" i="8"/>
  <c r="GN179" i="8" l="1"/>
  <c r="GO179" i="8" s="1"/>
  <c r="GP179" i="8" s="1"/>
  <c r="GQ179" i="8" s="1"/>
  <c r="GR179" i="8" s="1"/>
  <c r="GS179" i="8" l="1"/>
  <c r="GX90" i="8" s="1"/>
  <c r="GX91" i="8" s="1"/>
  <c r="GX92" i="8" s="1"/>
  <c r="GX93" i="8" s="1"/>
  <c r="GW101" i="8" l="1"/>
  <c r="GX95" i="8"/>
  <c r="CG94" i="8" l="1"/>
  <c r="CH94" i="8" s="1"/>
  <c r="CO94" i="8" s="1"/>
  <c r="CP94" i="8" s="1"/>
  <c r="CR94" i="8" l="1"/>
  <c r="CS94" i="8"/>
  <c r="CQ94" i="8" s="1"/>
  <c r="CT94" i="8" s="1"/>
  <c r="BC94" i="8" l="1"/>
  <c r="BH94" i="8" s="1"/>
  <c r="BJ94" i="8" l="1"/>
  <c r="AI95" i="8" l="1"/>
  <c r="AK95" i="8" s="1"/>
  <c r="AB94" i="8"/>
  <c r="AC94" i="8"/>
  <c r="BB95" i="8"/>
  <c r="BA95" i="8"/>
  <c r="AN95" i="8" l="1"/>
  <c r="AR95" i="8" s="1"/>
  <c r="AV95" i="8"/>
  <c r="AL95" i="8"/>
  <c r="BI95" i="8" l="1"/>
  <c r="BG95" i="8"/>
  <c r="AM95" i="8"/>
  <c r="AO95" i="8" s="1"/>
  <c r="AQ95" i="8" l="1"/>
  <c r="AP95" i="8"/>
  <c r="AU95" i="8" l="1"/>
  <c r="AS95" i="8"/>
  <c r="AW96" i="8" l="1"/>
  <c r="AJ96" i="8" s="1"/>
  <c r="BD95" i="8"/>
  <c r="DB95" i="8" s="1"/>
  <c r="BR96" i="8"/>
  <c r="CB95" i="8"/>
  <c r="CA95" i="8" l="1"/>
  <c r="BX95" i="8" s="1"/>
  <c r="AX95" i="8"/>
  <c r="AH96" i="8"/>
  <c r="BV95" i="8" l="1"/>
  <c r="CC95" i="8"/>
  <c r="BU95" i="8"/>
  <c r="CD95" i="8"/>
  <c r="CE95" i="8" s="1"/>
  <c r="CF95" i="8" s="1"/>
  <c r="DC95" i="8"/>
  <c r="DE95" i="8"/>
  <c r="DF95" i="8"/>
  <c r="CG95" i="8"/>
  <c r="CH95" i="8" s="1"/>
  <c r="CO95" i="8" s="1"/>
  <c r="CR95" i="8" s="1"/>
  <c r="DD95" i="8" l="1"/>
  <c r="DG95" i="8" s="1"/>
  <c r="BW95" i="8"/>
  <c r="BY96" i="8" s="1"/>
  <c r="CS95" i="8"/>
  <c r="CQ95" i="8" s="1"/>
  <c r="CT95" i="8" s="1"/>
  <c r="CP95" i="8"/>
  <c r="BC95" i="8" l="1"/>
  <c r="BH95" i="8" s="1"/>
  <c r="BJ95" i="8" l="1"/>
  <c r="BB96" i="8"/>
  <c r="AI96" i="8" l="1"/>
  <c r="BA96" i="8" s="1"/>
  <c r="AB95" i="8"/>
  <c r="AC95" i="8"/>
  <c r="AN96" i="8"/>
  <c r="AR96" i="8" s="1"/>
  <c r="BG96" i="8"/>
  <c r="AK96" i="8" l="1"/>
  <c r="AL96" i="8" s="1"/>
  <c r="AM96" i="8" l="1"/>
  <c r="AO96" i="8" s="1"/>
  <c r="AQ96" i="8" s="1"/>
  <c r="AU96" i="8" s="1"/>
  <c r="BI96" i="8"/>
  <c r="AV96" i="8"/>
  <c r="AW97" i="8"/>
  <c r="BD96" i="8"/>
  <c r="DB96" i="8" s="1"/>
  <c r="DF96" i="8" s="1"/>
  <c r="BR97" i="8"/>
  <c r="AP96" i="8" l="1"/>
  <c r="AJ97" i="8"/>
  <c r="AS96" i="8"/>
  <c r="DE96" i="8"/>
  <c r="DD96" i="8" s="1"/>
  <c r="DG96" i="8" s="1"/>
  <c r="DC96" i="8"/>
  <c r="CA96" i="8"/>
  <c r="AX96" i="8"/>
  <c r="BX96" i="8" l="1"/>
  <c r="CD96" i="8" s="1"/>
  <c r="CE96" i="8" s="1"/>
  <c r="CF96" i="8" s="1"/>
  <c r="CB96" i="8"/>
  <c r="BU96" i="8"/>
  <c r="CC96" i="8"/>
  <c r="BV96" i="8"/>
  <c r="AH97" i="8"/>
  <c r="BW96" i="8" l="1"/>
  <c r="BY97" i="8" s="1"/>
  <c r="CG96" i="8"/>
  <c r="CH96" i="8" s="1"/>
  <c r="CO96" i="8" s="1"/>
  <c r="CP96" i="8" l="1"/>
  <c r="CR96" i="8"/>
  <c r="CS96" i="8"/>
  <c r="CQ96" i="8" s="1"/>
  <c r="CT96" i="8" s="1"/>
  <c r="BC96" i="8" l="1"/>
  <c r="BH96" i="8" s="1"/>
  <c r="BJ96" i="8" l="1"/>
  <c r="AI97" i="8" l="1"/>
  <c r="AK97" i="8" s="1"/>
  <c r="AL97" i="8" s="1"/>
  <c r="AB96" i="8"/>
  <c r="AC96" i="8"/>
  <c r="AN97" i="8"/>
  <c r="AR97" i="8" s="1"/>
  <c r="BR98" i="8"/>
  <c r="AM97" i="8" l="1"/>
  <c r="AO97" i="8" s="1"/>
  <c r="BB97" i="8"/>
  <c r="BG97" i="8" s="1"/>
  <c r="BA97" i="8"/>
  <c r="AV97" i="8"/>
  <c r="BI97" i="8"/>
  <c r="CB97" i="8"/>
  <c r="AP97" i="8" l="1"/>
  <c r="AQ97" i="8"/>
  <c r="AU97" i="8" s="1"/>
  <c r="AS97" i="8" l="1"/>
  <c r="AW98" i="8"/>
  <c r="AJ98" i="8" s="1"/>
  <c r="AH98" i="8" s="1"/>
  <c r="AX97" i="8"/>
  <c r="BD97" i="8"/>
  <c r="DB97" i="8" s="1"/>
  <c r="CA97" i="8" l="1"/>
  <c r="BX97" i="8" s="1"/>
  <c r="BR99" i="8"/>
  <c r="CD97" i="8" l="1"/>
  <c r="CE97" i="8" s="1"/>
  <c r="CF97" i="8" s="1"/>
  <c r="BU97" i="8"/>
  <c r="BV97" i="8"/>
  <c r="CC97" i="8"/>
  <c r="DF97" i="8"/>
  <c r="DC97" i="8"/>
  <c r="DE97" i="8"/>
  <c r="CG97" i="8" l="1"/>
  <c r="CH97" i="8" s="1"/>
  <c r="CO97" i="8" s="1"/>
  <c r="CP97" i="8" s="1"/>
  <c r="BW97" i="8"/>
  <c r="BY98" i="8" s="1"/>
  <c r="DD97" i="8"/>
  <c r="DG97" i="8" s="1"/>
  <c r="CR97" i="8" l="1"/>
  <c r="CS97" i="8"/>
  <c r="CQ97" i="8" l="1"/>
  <c r="CT97" i="8" s="1"/>
  <c r="BC97" i="8" s="1"/>
  <c r="BH97" i="8" s="1"/>
  <c r="BJ97" i="8" s="1"/>
  <c r="CB98" i="8"/>
  <c r="AI98" i="8" l="1"/>
  <c r="BB98" i="8" s="1"/>
  <c r="AB97" i="8"/>
  <c r="AC97" i="8"/>
  <c r="AN98" i="8"/>
  <c r="AR98" i="8" s="1"/>
  <c r="AK98" i="8" l="1"/>
  <c r="AL98" i="8" s="1"/>
  <c r="BA98" i="8"/>
  <c r="AM98" i="8" l="1"/>
  <c r="AO98" i="8" s="1"/>
  <c r="AP98" i="8" s="1"/>
  <c r="BI98" i="8"/>
  <c r="BG98" i="8"/>
  <c r="AV98" i="8"/>
  <c r="AX98" i="8"/>
  <c r="BD98" i="8"/>
  <c r="DB98" i="8" s="1"/>
  <c r="BR100" i="8"/>
  <c r="AQ98" i="8" l="1"/>
  <c r="CA98" i="8"/>
  <c r="BX98" i="8" s="1"/>
  <c r="AU98" i="8" l="1"/>
  <c r="AS98" i="8"/>
  <c r="AW99" i="8" s="1"/>
  <c r="AJ99" i="8" s="1"/>
  <c r="AH99" i="8" s="1"/>
  <c r="CD98" i="8"/>
  <c r="CE98" i="8" s="1"/>
  <c r="CF98" i="8" s="1"/>
  <c r="BV98" i="8"/>
  <c r="CC98" i="8"/>
  <c r="BU98" i="8"/>
  <c r="DE98" i="8"/>
  <c r="DC98" i="8"/>
  <c r="DF98" i="8"/>
  <c r="DD98" i="8" l="1"/>
  <c r="DG98" i="8" s="1"/>
  <c r="CG98" i="8"/>
  <c r="CH98" i="8" s="1"/>
  <c r="CO98" i="8" s="1"/>
  <c r="CR98" i="8" s="1"/>
  <c r="BW98" i="8"/>
  <c r="BY99" i="8" s="1"/>
  <c r="CP98" i="8" l="1"/>
  <c r="CS98" i="8"/>
  <c r="CQ98" i="8" s="1"/>
  <c r="CT98" i="8" s="1"/>
  <c r="BC98" i="8" s="1"/>
  <c r="BH98" i="8" s="1"/>
  <c r="CB99" i="8"/>
  <c r="BJ98" i="8" l="1"/>
  <c r="AI99" i="8" l="1"/>
  <c r="AK99" i="8" s="1"/>
  <c r="AV99" i="8" s="1"/>
  <c r="AB98" i="8"/>
  <c r="AC98" i="8"/>
  <c r="AN99" i="8"/>
  <c r="AR99" i="8" s="1"/>
  <c r="BA99" i="8" l="1"/>
  <c r="BB99" i="8"/>
  <c r="AL99" i="8"/>
  <c r="BI99" i="8" l="1"/>
  <c r="AM99" i="8"/>
  <c r="BG99" i="8"/>
  <c r="BD99" i="8"/>
  <c r="DB99" i="8" s="1"/>
  <c r="DC99" i="8" s="1"/>
  <c r="AO99" i="8" l="1"/>
  <c r="AP99" i="8" s="1"/>
  <c r="AW100" i="8"/>
  <c r="CA99" i="8"/>
  <c r="CC99" i="8" s="1"/>
  <c r="AX99" i="8"/>
  <c r="BR101" i="8"/>
  <c r="AQ99" i="8" l="1"/>
  <c r="AS99" i="8" s="1"/>
  <c r="BU99" i="8"/>
  <c r="BX99" i="8"/>
  <c r="BV99" i="8"/>
  <c r="DF99" i="8"/>
  <c r="DE99" i="8"/>
  <c r="AU99" i="8" l="1"/>
  <c r="AJ100" i="8"/>
  <c r="AH100" i="8" s="1"/>
  <c r="CD99" i="8"/>
  <c r="CE99" i="8" s="1"/>
  <c r="CF99" i="8" s="1"/>
  <c r="CG99" i="8" s="1"/>
  <c r="CH99" i="8" s="1"/>
  <c r="CO99" i="8" s="1"/>
  <c r="CR99" i="8" s="1"/>
  <c r="BW99" i="8"/>
  <c r="BY100" i="8" s="1"/>
  <c r="DD99" i="8"/>
  <c r="DG99" i="8" s="1"/>
  <c r="CP99" i="8" l="1"/>
  <c r="CS99" i="8"/>
  <c r="CQ99" i="8" s="1"/>
  <c r="CT99" i="8" s="1"/>
  <c r="BC99" i="8" s="1"/>
  <c r="BH99" i="8" s="1"/>
  <c r="CB100" i="8"/>
  <c r="BJ99" i="8" l="1"/>
  <c r="AI100" i="8" l="1"/>
  <c r="BA100" i="8" s="1"/>
  <c r="AC99" i="8"/>
  <c r="AB99" i="8"/>
  <c r="AN100" i="8"/>
  <c r="AR100" i="8" s="1"/>
  <c r="BR102" i="8"/>
  <c r="AK100" i="8" l="1"/>
  <c r="AL100" i="8" s="1"/>
  <c r="BB100" i="8"/>
  <c r="AM100" i="8" l="1"/>
  <c r="AO100" i="8" s="1"/>
  <c r="BI100" i="8"/>
  <c r="AV100" i="8"/>
  <c r="BG100" i="8"/>
  <c r="AP100" i="8" l="1"/>
  <c r="AQ100" i="8"/>
  <c r="AU100" i="8" s="1"/>
  <c r="BD100" i="8"/>
  <c r="DB100" i="8" s="1"/>
  <c r="AS100" i="8" l="1"/>
  <c r="AW101" i="8"/>
  <c r="AJ101" i="8" s="1"/>
  <c r="AX100" i="8"/>
  <c r="DC100" i="8"/>
  <c r="DF100" i="8"/>
  <c r="DE100" i="8"/>
  <c r="CA100" i="8"/>
  <c r="CC100" i="8" s="1"/>
  <c r="AH101" i="8" l="1"/>
  <c r="BU100" i="8"/>
  <c r="BX100" i="8"/>
  <c r="BV100" i="8"/>
  <c r="DD100" i="8"/>
  <c r="DG100" i="8" s="1"/>
  <c r="CD100" i="8" l="1"/>
  <c r="CE100" i="8" s="1"/>
  <c r="CF100" i="8" s="1"/>
  <c r="CG100" i="8" s="1"/>
  <c r="CH100" i="8" s="1"/>
  <c r="CO100" i="8" s="1"/>
  <c r="CR100" i="8" s="1"/>
  <c r="BW100" i="8"/>
  <c r="BY101" i="8" s="1"/>
  <c r="CB101" i="8" s="1"/>
  <c r="CP100" i="8" l="1"/>
  <c r="CS100" i="8"/>
  <c r="CQ100" i="8" s="1"/>
  <c r="CT100" i="8" s="1"/>
  <c r="BC100" i="8" s="1"/>
  <c r="BH100" i="8" s="1"/>
  <c r="BJ100" i="8" s="1"/>
  <c r="AI101" i="8" l="1"/>
  <c r="BA101" i="8" s="1"/>
  <c r="AC100" i="8"/>
  <c r="AB100" i="8"/>
  <c r="AN101" i="8"/>
  <c r="AR101" i="8" s="1"/>
  <c r="BR103" i="8"/>
  <c r="BB101" i="8" l="1"/>
  <c r="AK101" i="8"/>
  <c r="AV101" i="8" s="1"/>
  <c r="AL101" i="8" l="1"/>
  <c r="AM101" i="8" l="1"/>
  <c r="AO101" i="8" s="1"/>
  <c r="AQ101" i="8" s="1"/>
  <c r="AU101" i="8" s="1"/>
  <c r="BI101" i="8"/>
  <c r="BG101" i="8"/>
  <c r="BD101" i="8"/>
  <c r="DB101" i="8" s="1"/>
  <c r="DC101" i="8" s="1"/>
  <c r="AP101" i="8" l="1"/>
  <c r="AS101" i="8"/>
  <c r="AW102" i="8"/>
  <c r="AJ102" i="8" s="1"/>
  <c r="AX101" i="8"/>
  <c r="CA101" i="8"/>
  <c r="BU101" i="8" s="1"/>
  <c r="AH102" i="8" l="1"/>
  <c r="CC101" i="8"/>
  <c r="BV101" i="8"/>
  <c r="BW101" i="8" s="1"/>
  <c r="BY102" i="8" s="1"/>
  <c r="CB102" i="8" s="1"/>
  <c r="BX101" i="8"/>
  <c r="DF101" i="8"/>
  <c r="DE101" i="8"/>
  <c r="CD101" i="8" l="1"/>
  <c r="CE101" i="8" s="1"/>
  <c r="CF101" i="8" s="1"/>
  <c r="CG101" i="8" s="1"/>
  <c r="CH101" i="8" s="1"/>
  <c r="CO101" i="8" s="1"/>
  <c r="CR101" i="8" s="1"/>
  <c r="DD101" i="8"/>
  <c r="DG101" i="8" s="1"/>
  <c r="CS101" i="8" l="1"/>
  <c r="CQ101" i="8" s="1"/>
  <c r="CT101" i="8" s="1"/>
  <c r="BC101" i="8" s="1"/>
  <c r="BH101" i="8" s="1"/>
  <c r="CP101" i="8"/>
  <c r="BR104" i="8"/>
  <c r="BJ101" i="8" l="1"/>
  <c r="AI102" i="8" l="1"/>
  <c r="AK102" i="8" s="1"/>
  <c r="AC101" i="8"/>
  <c r="AB101" i="8"/>
  <c r="BA102" i="8" l="1"/>
  <c r="BB102" i="8"/>
  <c r="AV102" i="8"/>
  <c r="AN102" i="8"/>
  <c r="AR102" i="8" s="1"/>
  <c r="AL102" i="8"/>
  <c r="BI102" i="8" l="1"/>
  <c r="AM102" i="8"/>
  <c r="AO102" i="8" s="1"/>
  <c r="BG102" i="8"/>
  <c r="AP102" i="8" l="1"/>
  <c r="AQ102" i="8"/>
  <c r="AX102" i="8"/>
  <c r="AU102" i="8" l="1"/>
  <c r="AS102" i="8"/>
  <c r="BD102" i="8"/>
  <c r="DB102" i="8" s="1"/>
  <c r="AW103" i="8" l="1"/>
  <c r="AJ103" i="8" s="1"/>
  <c r="AH103" i="8" s="1"/>
  <c r="CA102" i="8"/>
  <c r="DC102" i="8" l="1"/>
  <c r="DE102" i="8"/>
  <c r="DF102" i="8"/>
  <c r="BX102" i="8"/>
  <c r="CD102" i="8" s="1"/>
  <c r="CE102" i="8" s="1"/>
  <c r="CF102" i="8" s="1"/>
  <c r="BU102" i="8"/>
  <c r="CC102" i="8"/>
  <c r="BV102" i="8"/>
  <c r="BR105" i="8"/>
  <c r="DD102" i="8" l="1"/>
  <c r="DG102" i="8" s="1"/>
  <c r="CG102" i="8"/>
  <c r="CH102" i="8" s="1"/>
  <c r="CO102" i="8" s="1"/>
  <c r="CR102" i="8" s="1"/>
  <c r="BW102" i="8"/>
  <c r="BY103" i="8" s="1"/>
  <c r="CB103" i="8" s="1"/>
  <c r="CP102" i="8" l="1"/>
  <c r="CS102" i="8"/>
  <c r="CQ102" i="8" s="1"/>
  <c r="CT102" i="8" s="1"/>
  <c r="BC102" i="8" l="1"/>
  <c r="BH102" i="8" s="1"/>
  <c r="BJ102" i="8" l="1"/>
  <c r="AI103" i="8" l="1"/>
  <c r="AK103" i="8" s="1"/>
  <c r="AC102" i="8"/>
  <c r="AB102" i="8"/>
  <c r="BA103" i="8" l="1"/>
  <c r="BB103" i="8"/>
  <c r="AV103" i="8"/>
  <c r="AN103" i="8"/>
  <c r="AR103" i="8" s="1"/>
  <c r="AL103" i="8"/>
  <c r="AM103" i="8" l="1"/>
  <c r="AO103" i="8" s="1"/>
  <c r="BI103" i="8"/>
  <c r="BG103" i="8"/>
  <c r="AP103" i="8" l="1"/>
  <c r="AQ103" i="8"/>
  <c r="BR106" i="8"/>
  <c r="AU103" i="8" l="1"/>
  <c r="AS103" i="8"/>
  <c r="AX103" i="8"/>
  <c r="AW104" i="8" l="1"/>
  <c r="AJ104" i="8" s="1"/>
  <c r="AH104" i="8" s="1"/>
  <c r="BD103" i="8"/>
  <c r="DB103" i="8" l="1"/>
  <c r="CA103" i="8"/>
  <c r="CC103" i="8" l="1"/>
  <c r="BV103" i="8"/>
  <c r="BU103" i="8"/>
  <c r="BX103" i="8"/>
  <c r="CD103" i="8" s="1"/>
  <c r="CE103" i="8" s="1"/>
  <c r="CF103" i="8" s="1"/>
  <c r="DF103" i="8"/>
  <c r="DE103" i="8"/>
  <c r="DC103" i="8"/>
  <c r="CG103" i="8" l="1"/>
  <c r="CH103" i="8" s="1"/>
  <c r="CO103" i="8" s="1"/>
  <c r="CS103" i="8" s="1"/>
  <c r="DD103" i="8"/>
  <c r="DG103" i="8" s="1"/>
  <c r="BW103" i="8"/>
  <c r="BY104" i="8" s="1"/>
  <c r="CB104" i="8" s="1"/>
  <c r="CR103" i="8" l="1"/>
  <c r="CQ103" i="8" s="1"/>
  <c r="CP103" i="8"/>
  <c r="CT103" i="8" l="1"/>
  <c r="BC103" i="8" s="1"/>
  <c r="BH103" i="8" s="1"/>
  <c r="BJ103" i="8" s="1"/>
  <c r="AI104" i="8" s="1"/>
  <c r="BA104" i="8" s="1"/>
  <c r="AN104" i="8"/>
  <c r="AR104" i="8" s="1"/>
  <c r="AB103" i="8" l="1"/>
  <c r="AC103" i="8"/>
  <c r="BB104" i="8"/>
  <c r="AK104" i="8"/>
  <c r="AL104" i="8" s="1"/>
  <c r="BR107" i="8"/>
  <c r="AM104" i="8" l="1"/>
  <c r="AO104" i="8" s="1"/>
  <c r="AP104" i="8" s="1"/>
  <c r="BI104" i="8"/>
  <c r="BG104" i="8"/>
  <c r="AV104" i="8"/>
  <c r="BD104" i="8"/>
  <c r="AQ104" i="8" l="1"/>
  <c r="DB104" i="8"/>
  <c r="DE104" i="8" s="1"/>
  <c r="CA104" i="8"/>
  <c r="CC104" i="8" s="1"/>
  <c r="AX104" i="8"/>
  <c r="AU104" i="8" l="1"/>
  <c r="AS104" i="8"/>
  <c r="AW105" i="8" s="1"/>
  <c r="AJ105" i="8" s="1"/>
  <c r="AH105" i="8" s="1"/>
  <c r="DF104" i="8"/>
  <c r="DD104" i="8" s="1"/>
  <c r="DG104" i="8" s="1"/>
  <c r="DC104" i="8"/>
  <c r="BV104" i="8"/>
  <c r="BX104" i="8"/>
  <c r="CD104" i="8" s="1"/>
  <c r="CE104" i="8" s="1"/>
  <c r="CF104" i="8" s="1"/>
  <c r="CG104" i="8" s="1"/>
  <c r="CH104" i="8" s="1"/>
  <c r="CO104" i="8" s="1"/>
  <c r="CS104" i="8" s="1"/>
  <c r="BU104" i="8"/>
  <c r="BW104" i="8" l="1"/>
  <c r="BY105" i="8" s="1"/>
  <c r="CB105" i="8" s="1"/>
  <c r="CP104" i="8"/>
  <c r="CR104" i="8"/>
  <c r="CQ104" i="8" s="1"/>
  <c r="CT104" i="8" l="1"/>
  <c r="BC104" i="8" s="1"/>
  <c r="BH104" i="8" s="1"/>
  <c r="BJ104" i="8" l="1"/>
  <c r="AI105" i="8" l="1"/>
  <c r="AK105" i="8" s="1"/>
  <c r="AC104" i="8"/>
  <c r="AB104" i="8"/>
  <c r="BB105" i="8" l="1"/>
  <c r="BA105" i="8"/>
  <c r="AN105" i="8"/>
  <c r="AR105" i="8" s="1"/>
  <c r="AL105" i="8"/>
  <c r="AV105" i="8"/>
  <c r="AM105" i="8" l="1"/>
  <c r="AO105" i="8" s="1"/>
  <c r="BI105" i="8"/>
  <c r="BG105" i="8"/>
  <c r="AP105" i="8" l="1"/>
  <c r="AQ105" i="8"/>
  <c r="AU105" i="8" l="1"/>
  <c r="AS105" i="8"/>
  <c r="AX105" i="8"/>
  <c r="AW106" i="8" l="1"/>
  <c r="AJ106" i="8" s="1"/>
  <c r="AH106" i="8" s="1"/>
  <c r="BD105" i="8"/>
  <c r="DB105" i="8" l="1"/>
  <c r="CA105" i="8"/>
  <c r="CC105" i="8" l="1"/>
  <c r="BU105" i="8"/>
  <c r="BX105" i="8"/>
  <c r="CD105" i="8" s="1"/>
  <c r="CE105" i="8" s="1"/>
  <c r="CF105" i="8" s="1"/>
  <c r="BV105" i="8"/>
  <c r="DC105" i="8"/>
  <c r="DF105" i="8"/>
  <c r="DE105" i="8"/>
  <c r="DD105" i="8" l="1"/>
  <c r="DG105" i="8" s="1"/>
  <c r="BW105" i="8"/>
  <c r="BY106" i="8" s="1"/>
  <c r="CB106" i="8" s="1"/>
  <c r="CG105" i="8"/>
  <c r="CH105" i="8" s="1"/>
  <c r="CO105" i="8" s="1"/>
  <c r="CR105" i="8" l="1"/>
  <c r="CP105" i="8"/>
  <c r="CS105" i="8"/>
  <c r="CQ105" i="8" l="1"/>
  <c r="CT105" i="8" s="1"/>
  <c r="BC105" i="8" s="1"/>
  <c r="BH105" i="8" s="1"/>
  <c r="BJ105" i="8" s="1"/>
  <c r="AI106" i="8" l="1"/>
  <c r="AK106" i="8" s="1"/>
  <c r="AL106" i="8" s="1"/>
  <c r="AC105" i="8"/>
  <c r="AB105" i="8"/>
  <c r="AN106" i="8"/>
  <c r="AV106" i="8" l="1"/>
  <c r="BA106" i="8"/>
  <c r="AM106" i="8"/>
  <c r="AO106" i="8" s="1"/>
  <c r="BB106" i="8"/>
  <c r="BG106" i="8" s="1"/>
  <c r="BI106" i="8"/>
  <c r="AR106" i="8"/>
  <c r="AX106" i="8"/>
  <c r="AQ106" i="8" l="1"/>
  <c r="AU106" i="8" s="1"/>
  <c r="AP106" i="8"/>
  <c r="AS106" i="8" l="1"/>
  <c r="BD106" i="8" l="1"/>
  <c r="DB106" i="8" s="1"/>
  <c r="AW107" i="8"/>
  <c r="AJ107" i="8" s="1"/>
  <c r="AH107" i="8" s="1"/>
  <c r="CA106" i="8" l="1"/>
  <c r="BV106" i="8" s="1"/>
  <c r="DC106" i="8"/>
  <c r="DF106" i="8"/>
  <c r="DE106" i="8"/>
  <c r="BX106" i="8" l="1"/>
  <c r="CD106" i="8" s="1"/>
  <c r="CE106" i="8" s="1"/>
  <c r="CF106" i="8" s="1"/>
  <c r="BU106" i="8"/>
  <c r="BW106" i="8" s="1"/>
  <c r="BY107" i="8" s="1"/>
  <c r="CB107" i="8" s="1"/>
  <c r="CC106" i="8"/>
  <c r="DD106" i="8"/>
  <c r="DG106" i="8" s="1"/>
  <c r="CG106" i="8" l="1"/>
  <c r="CH106" i="8" s="1"/>
  <c r="CO106" i="8" s="1"/>
  <c r="CP106" i="8" s="1"/>
  <c r="CS106" i="8" l="1"/>
  <c r="CR106" i="8"/>
  <c r="CQ106" i="8" l="1"/>
  <c r="CT106" i="8" s="1"/>
  <c r="BC106" i="8" s="1"/>
  <c r="BH106" i="8" s="1"/>
  <c r="BJ106" i="8" s="1"/>
  <c r="AN107" i="8"/>
  <c r="AR107" i="8" s="1"/>
  <c r="AI107" i="8" l="1"/>
  <c r="AK107" i="8" s="1"/>
  <c r="AV107" i="8" s="1"/>
  <c r="AB106" i="8"/>
  <c r="AC106" i="8"/>
  <c r="AX107" i="8"/>
  <c r="BA107" i="8" l="1"/>
  <c r="AL107" i="8"/>
  <c r="BB107" i="8"/>
  <c r="AM107" i="8" l="1"/>
  <c r="AO107" i="8" s="1"/>
  <c r="AP107" i="8" s="1"/>
  <c r="BI107" i="8"/>
  <c r="BG107" i="8"/>
  <c r="AQ107" i="8" l="1"/>
  <c r="AW108" i="8"/>
  <c r="BD107" i="8"/>
  <c r="AJ108" i="8" l="1"/>
  <c r="AH108" i="8" s="1"/>
  <c r="AS107" i="8"/>
  <c r="AU107" i="8"/>
  <c r="DB107" i="8"/>
  <c r="CA107" i="8"/>
  <c r="BV107" i="8" l="1"/>
  <c r="CC107" i="8"/>
  <c r="BX107" i="8"/>
  <c r="CD107" i="8" s="1"/>
  <c r="CE107" i="8" s="1"/>
  <c r="CF107" i="8" s="1"/>
  <c r="BU107" i="8"/>
  <c r="DC107" i="8"/>
  <c r="DF107" i="8"/>
  <c r="DE107" i="8"/>
  <c r="BW107" i="8" l="1"/>
  <c r="BY108" i="8" s="1"/>
  <c r="CB108" i="8" s="1"/>
  <c r="DD107" i="8"/>
  <c r="DG107" i="8" s="1"/>
  <c r="CG107" i="8"/>
  <c r="CH107" i="8" s="1"/>
  <c r="CO107" i="8" s="1"/>
  <c r="CS107" i="8" l="1"/>
  <c r="CP107" i="8"/>
  <c r="CR107" i="8"/>
  <c r="CQ107" i="8" l="1"/>
  <c r="CT107" i="8" s="1"/>
  <c r="BC107" i="8" s="1"/>
  <c r="BH107" i="8" s="1"/>
  <c r="BJ107" i="8" s="1"/>
  <c r="AI108" i="8" l="1"/>
  <c r="BA108" i="8" s="1"/>
  <c r="AB107" i="8"/>
  <c r="AC107" i="8"/>
  <c r="BB108" i="8" l="1"/>
  <c r="AK108" i="8"/>
  <c r="AL108" i="8" s="1"/>
  <c r="AN108" i="8"/>
  <c r="AR108" i="8" s="1"/>
  <c r="AX108" i="8"/>
  <c r="AV108" i="8" l="1"/>
  <c r="BI108" i="8"/>
  <c r="AM108" i="8"/>
  <c r="AO108" i="8" s="1"/>
  <c r="BG108" i="8"/>
  <c r="AP108" i="8" l="1"/>
  <c r="AQ108" i="8"/>
  <c r="AW109" i="8"/>
  <c r="BD108" i="8"/>
  <c r="AJ109" i="8" l="1"/>
  <c r="AH109" i="8" s="1"/>
  <c r="AS108" i="8"/>
  <c r="AU108" i="8"/>
  <c r="DB108" i="8"/>
  <c r="CA108" i="8"/>
  <c r="BX108" i="8" l="1"/>
  <c r="CD108" i="8" s="1"/>
  <c r="CE108" i="8" s="1"/>
  <c r="CF108" i="8" s="1"/>
  <c r="CC108" i="8"/>
  <c r="BV108" i="8"/>
  <c r="BU108" i="8"/>
  <c r="DF108" i="8"/>
  <c r="DC108" i="8"/>
  <c r="DE108" i="8"/>
  <c r="DD108" i="8" l="1"/>
  <c r="DG108" i="8" s="1"/>
  <c r="BW108" i="8"/>
  <c r="BY109" i="8" s="1"/>
  <c r="CB109" i="8" s="1"/>
  <c r="CG108" i="8"/>
  <c r="CH108" i="8" s="1"/>
  <c r="CO108" i="8" s="1"/>
  <c r="CP108" i="8" l="1"/>
  <c r="CR108" i="8"/>
  <c r="CS108" i="8"/>
  <c r="AX109" i="8"/>
  <c r="CQ108" i="8" l="1"/>
  <c r="CT108" i="8" s="1"/>
  <c r="BC108" i="8" s="1"/>
  <c r="BH108" i="8" s="1"/>
  <c r="BJ108" i="8" s="1"/>
  <c r="AI109" i="8" l="1"/>
  <c r="AK109" i="8" s="1"/>
  <c r="AV109" i="8" s="1"/>
  <c r="AC108" i="8"/>
  <c r="AB108" i="8"/>
  <c r="AN109" i="8"/>
  <c r="AR109" i="8" s="1"/>
  <c r="AL109" i="8" l="1"/>
  <c r="AM109" i="8" s="1"/>
  <c r="AO109" i="8" s="1"/>
  <c r="BA109" i="8"/>
  <c r="BB109" i="8"/>
  <c r="BI109" i="8" l="1"/>
  <c r="BG109" i="8"/>
  <c r="AP109" i="8"/>
  <c r="AQ109" i="8"/>
  <c r="AW110" i="8"/>
  <c r="BD109" i="8"/>
  <c r="AJ110" i="8" l="1"/>
  <c r="AH110" i="8" s="1"/>
  <c r="AS109" i="8"/>
  <c r="AU109" i="8"/>
  <c r="DB109" i="8"/>
  <c r="CA109" i="8"/>
  <c r="BX109" i="8" l="1"/>
  <c r="CD109" i="8" s="1"/>
  <c r="CE109" i="8" s="1"/>
  <c r="CF109" i="8" s="1"/>
  <c r="BU109" i="8"/>
  <c r="CC109" i="8"/>
  <c r="BV109" i="8"/>
  <c r="DF109" i="8"/>
  <c r="DE109" i="8"/>
  <c r="DC109" i="8"/>
  <c r="DD109" i="8" l="1"/>
  <c r="DG109" i="8" s="1"/>
  <c r="CG109" i="8"/>
  <c r="CH109" i="8" s="1"/>
  <c r="CO109" i="8" s="1"/>
  <c r="CP109" i="8" s="1"/>
  <c r="BW109" i="8"/>
  <c r="BY110" i="8" s="1"/>
  <c r="CB110" i="8" s="1"/>
  <c r="CS109" i="8" l="1"/>
  <c r="CR109" i="8"/>
  <c r="CQ109" i="8" l="1"/>
  <c r="CT109" i="8" s="1"/>
  <c r="BC109" i="8" s="1"/>
  <c r="BH109" i="8" s="1"/>
  <c r="BJ109" i="8" s="1"/>
  <c r="AX110" i="8"/>
  <c r="AI110" i="8" l="1"/>
  <c r="BA110" i="8" s="1"/>
  <c r="AC109" i="8"/>
  <c r="AB109" i="8"/>
  <c r="AN110" i="8"/>
  <c r="AR110" i="8" s="1"/>
  <c r="BB110" i="8" l="1"/>
  <c r="AK110" i="8"/>
  <c r="AV110" i="8" s="1"/>
  <c r="AL110" i="8" l="1"/>
  <c r="AM110" i="8" l="1"/>
  <c r="AO110" i="8" s="1"/>
  <c r="AQ110" i="8" s="1"/>
  <c r="AU110" i="8" s="1"/>
  <c r="BG110" i="8"/>
  <c r="BI110" i="8"/>
  <c r="AP110" i="8" l="1"/>
  <c r="AS110" i="8"/>
  <c r="AW111" i="8"/>
  <c r="AJ111" i="8" s="1"/>
  <c r="AH111" i="8" s="1"/>
  <c r="BD110" i="8"/>
  <c r="DB110" i="8" l="1"/>
  <c r="CA110" i="8"/>
  <c r="CC110" i="8" l="1"/>
  <c r="BV110" i="8"/>
  <c r="BU110" i="8"/>
  <c r="BX110" i="8"/>
  <c r="CD110" i="8" s="1"/>
  <c r="CE110" i="8" s="1"/>
  <c r="CF110" i="8" s="1"/>
  <c r="DC110" i="8"/>
  <c r="DF110" i="8"/>
  <c r="DE110" i="8"/>
  <c r="DD110" i="8" l="1"/>
  <c r="DG110" i="8" s="1"/>
  <c r="BW110" i="8"/>
  <c r="BY111" i="8" s="1"/>
  <c r="CB111" i="8" s="1"/>
  <c r="CG110" i="8"/>
  <c r="CH110" i="8" s="1"/>
  <c r="CO110" i="8" s="1"/>
  <c r="CS110" i="8" l="1"/>
  <c r="CP110" i="8"/>
  <c r="CR110" i="8"/>
  <c r="AX111" i="8"/>
  <c r="CQ110" i="8" l="1"/>
  <c r="CT110" i="8" s="1"/>
  <c r="BC110" i="8" s="1"/>
  <c r="BH110" i="8" s="1"/>
  <c r="BJ110" i="8" s="1"/>
  <c r="AI111" i="8" l="1"/>
  <c r="AK111" i="8" s="1"/>
  <c r="AC110" i="8"/>
  <c r="AB110" i="8"/>
  <c r="AN111" i="8"/>
  <c r="AR111" i="8" s="1"/>
  <c r="BA111" i="8" l="1"/>
  <c r="BB111" i="8"/>
  <c r="AL111" i="8"/>
  <c r="AV111" i="8"/>
  <c r="AM111" i="8" l="1"/>
  <c r="AO111" i="8" s="1"/>
  <c r="BI111" i="8"/>
  <c r="BG111" i="8"/>
  <c r="AP111" i="8" l="1"/>
  <c r="AQ111" i="8"/>
  <c r="AU111" i="8" s="1"/>
  <c r="AS111" i="8" l="1"/>
  <c r="AW112" i="8"/>
  <c r="AJ112" i="8" s="1"/>
  <c r="AH112" i="8" s="1"/>
  <c r="BD111" i="8"/>
  <c r="DB111" i="8" l="1"/>
  <c r="CA111" i="8"/>
  <c r="DE111" i="8" l="1"/>
  <c r="DC111" i="8"/>
  <c r="DF111" i="8"/>
  <c r="BX111" i="8"/>
  <c r="CD111" i="8" s="1"/>
  <c r="CE111" i="8" s="1"/>
  <c r="CF111" i="8" s="1"/>
  <c r="CC111" i="8"/>
  <c r="BV111" i="8"/>
  <c r="BU111" i="8"/>
  <c r="AX112" i="8"/>
  <c r="DD111" i="8" l="1"/>
  <c r="DG111" i="8" s="1"/>
  <c r="BW111" i="8"/>
  <c r="BY112" i="8" s="1"/>
  <c r="CB112" i="8" s="1"/>
  <c r="CG111" i="8"/>
  <c r="CH111" i="8" s="1"/>
  <c r="CO111" i="8" s="1"/>
  <c r="CP111" i="8" l="1"/>
  <c r="CR111" i="8"/>
  <c r="CS111" i="8"/>
  <c r="CQ111" i="8" l="1"/>
  <c r="CT111" i="8" s="1"/>
  <c r="BC111" i="8" s="1"/>
  <c r="BH111" i="8" s="1"/>
  <c r="BJ111" i="8" s="1"/>
  <c r="AI112" i="8" l="1"/>
  <c r="BB112" i="8" s="1"/>
  <c r="AB111" i="8"/>
  <c r="AC111" i="8"/>
  <c r="AN112" i="8"/>
  <c r="BA112" i="8" l="1"/>
  <c r="AK112" i="8"/>
  <c r="AL112" i="8" s="1"/>
  <c r="AR112" i="8"/>
  <c r="AM112" i="8" l="1"/>
  <c r="AO112" i="8" s="1"/>
  <c r="AP112" i="8" s="1"/>
  <c r="BG112" i="8"/>
  <c r="BI112" i="8"/>
  <c r="AV112" i="8"/>
  <c r="AQ112" i="8" l="1"/>
  <c r="AU112" i="8" s="1"/>
  <c r="BD112" i="8"/>
  <c r="AW113" i="8"/>
  <c r="AJ113" i="8" l="1"/>
  <c r="AH113" i="8" s="1"/>
  <c r="AS112" i="8"/>
  <c r="DB112" i="8"/>
  <c r="CA112" i="8"/>
  <c r="CC112" i="8" l="1"/>
  <c r="BX112" i="8"/>
  <c r="CD112" i="8" s="1"/>
  <c r="CE112" i="8" s="1"/>
  <c r="CF112" i="8" s="1"/>
  <c r="BU112" i="8"/>
  <c r="BV112" i="8"/>
  <c r="DC112" i="8"/>
  <c r="DF112" i="8"/>
  <c r="DE112" i="8"/>
  <c r="CG112" i="8" l="1"/>
  <c r="CH112" i="8" s="1"/>
  <c r="CO112" i="8" s="1"/>
  <c r="CS112" i="8" s="1"/>
  <c r="DD112" i="8"/>
  <c r="DG112" i="8" s="1"/>
  <c r="BW112" i="8"/>
  <c r="BY113" i="8" s="1"/>
  <c r="CB113" i="8" s="1"/>
  <c r="CR112" i="8" l="1"/>
  <c r="CQ112" i="8" s="1"/>
  <c r="CT112" i="8" s="1"/>
  <c r="BC112" i="8" s="1"/>
  <c r="BH112" i="8" s="1"/>
  <c r="BJ112" i="8" s="1"/>
  <c r="CP112" i="8"/>
  <c r="AI113" i="8" l="1"/>
  <c r="AK113" i="8" s="1"/>
  <c r="AV113" i="8" s="1"/>
  <c r="AB112" i="8"/>
  <c r="AC112" i="8"/>
  <c r="AN113" i="8"/>
  <c r="AR113" i="8" s="1"/>
  <c r="AX113" i="8"/>
  <c r="AL113" i="8" l="1"/>
  <c r="BA113" i="8"/>
  <c r="BB113" i="8"/>
  <c r="AW114" i="8"/>
  <c r="BD113" i="8"/>
  <c r="AM113" i="8" l="1"/>
  <c r="AO113" i="8" s="1"/>
  <c r="BG113" i="8"/>
  <c r="BI113" i="8"/>
  <c r="DB113" i="8"/>
  <c r="CA113" i="8"/>
  <c r="AP113" i="8" l="1"/>
  <c r="AQ113" i="8"/>
  <c r="AU113" i="8" s="1"/>
  <c r="CC113" i="8"/>
  <c r="BX113" i="8"/>
  <c r="CD113" i="8" s="1"/>
  <c r="CE113" i="8" s="1"/>
  <c r="CF113" i="8" s="1"/>
  <c r="CG113" i="8" s="1"/>
  <c r="CH113" i="8" s="1"/>
  <c r="CO113" i="8" s="1"/>
  <c r="BU113" i="8"/>
  <c r="BV113" i="8"/>
  <c r="DF113" i="8"/>
  <c r="DC113" i="8"/>
  <c r="DE113" i="8"/>
  <c r="AJ114" i="8" l="1"/>
  <c r="AH114" i="8" s="1"/>
  <c r="AS113" i="8"/>
  <c r="DD113" i="8"/>
  <c r="DG113" i="8" s="1"/>
  <c r="BW113" i="8"/>
  <c r="BY114" i="8" s="1"/>
  <c r="CB114" i="8" s="1"/>
  <c r="CR113" i="8"/>
  <c r="CP113" i="8"/>
  <c r="CS113" i="8"/>
  <c r="CQ113" i="8" l="1"/>
  <c r="CT113" i="8" s="1"/>
  <c r="BC113" i="8" s="1"/>
  <c r="BH113" i="8" s="1"/>
  <c r="BJ113" i="8" s="1"/>
  <c r="AI114" i="8" l="1"/>
  <c r="BB114" i="8" s="1"/>
  <c r="AB113" i="8"/>
  <c r="AC113" i="8"/>
  <c r="AK114" i="8" l="1"/>
  <c r="AN114" i="8" s="1"/>
  <c r="AR114" i="8" s="1"/>
  <c r="BA114" i="8"/>
  <c r="AL114" i="8" l="1"/>
  <c r="BI114" i="8" s="1"/>
  <c r="AV114" i="8"/>
  <c r="AM114" i="8" l="1"/>
  <c r="AO114" i="8" s="1"/>
  <c r="AP114" i="8" s="1"/>
  <c r="BG114" i="8"/>
  <c r="AX114" i="8"/>
  <c r="AQ114" i="8" l="1"/>
  <c r="AU114" i="8" s="1"/>
  <c r="AS114" i="8" l="1"/>
  <c r="AW115" i="8"/>
  <c r="AJ115" i="8" s="1"/>
  <c r="AH115" i="8" s="1"/>
  <c r="BD114" i="8"/>
  <c r="DB114" i="8" l="1"/>
  <c r="CA114" i="8"/>
  <c r="CC114" i="8" l="1"/>
  <c r="BX114" i="8"/>
  <c r="CD114" i="8" s="1"/>
  <c r="CE114" i="8" s="1"/>
  <c r="CF114" i="8" s="1"/>
  <c r="BV114" i="8"/>
  <c r="BU114" i="8"/>
  <c r="DE114" i="8"/>
  <c r="DF114" i="8"/>
  <c r="DC114" i="8"/>
  <c r="DD114" i="8" l="1"/>
  <c r="DG114" i="8" s="1"/>
  <c r="BW114" i="8"/>
  <c r="BY115" i="8" s="1"/>
  <c r="CB115" i="8" s="1"/>
  <c r="CG114" i="8"/>
  <c r="CH114" i="8" s="1"/>
  <c r="CO114" i="8" s="1"/>
  <c r="CP114" i="8" s="1"/>
  <c r="CS114" i="8" l="1"/>
  <c r="CR114" i="8"/>
  <c r="AN115" i="8"/>
  <c r="AR115" i="8" s="1"/>
  <c r="CQ114" i="8" l="1"/>
  <c r="CT114" i="8" s="1"/>
  <c r="BC114" i="8" s="1"/>
  <c r="BH114" i="8" s="1"/>
  <c r="BJ114" i="8" s="1"/>
  <c r="AI115" i="8" l="1"/>
  <c r="AK115" i="8" s="1"/>
  <c r="AL115" i="8" s="1"/>
  <c r="AB114" i="8"/>
  <c r="AC114" i="8"/>
  <c r="AM115" i="8" l="1"/>
  <c r="AO115" i="8" s="1"/>
  <c r="AQ115" i="8" s="1"/>
  <c r="AU115" i="8" s="1"/>
  <c r="AV115" i="8"/>
  <c r="BB115" i="8"/>
  <c r="BG115" i="8" s="1"/>
  <c r="BA115" i="8"/>
  <c r="BI115" i="8"/>
  <c r="AX115" i="8"/>
  <c r="AP115" i="8" l="1"/>
  <c r="AS115" i="8"/>
  <c r="AW116" i="8"/>
  <c r="AJ116" i="8" s="1"/>
  <c r="AH116" i="8" s="1"/>
  <c r="BD115" i="8"/>
  <c r="DB115" i="8" l="1"/>
  <c r="CA115" i="8"/>
  <c r="BU115" i="8" l="1"/>
  <c r="BX115" i="8"/>
  <c r="CD115" i="8" s="1"/>
  <c r="CE115" i="8" s="1"/>
  <c r="CF115" i="8" s="1"/>
  <c r="BV115" i="8"/>
  <c r="CC115" i="8"/>
  <c r="DE115" i="8"/>
  <c r="DC115" i="8"/>
  <c r="DF115" i="8"/>
  <c r="DD115" i="8" l="1"/>
  <c r="DG115" i="8" s="1"/>
  <c r="CG115" i="8"/>
  <c r="CH115" i="8" s="1"/>
  <c r="CO115" i="8" s="1"/>
  <c r="BW115" i="8"/>
  <c r="BY116" i="8" s="1"/>
  <c r="CB116" i="8" s="1"/>
  <c r="CP115" i="8" l="1"/>
  <c r="CS115" i="8"/>
  <c r="CR115" i="8"/>
  <c r="CQ115" i="8" l="1"/>
  <c r="CT115" i="8" s="1"/>
  <c r="BC115" i="8" s="1"/>
  <c r="BH115" i="8" s="1"/>
  <c r="BJ115" i="8" s="1"/>
  <c r="AI116" i="8" l="1"/>
  <c r="BA116" i="8" s="1"/>
  <c r="AC115" i="8"/>
  <c r="AB115" i="8"/>
  <c r="AK116" i="8" l="1"/>
  <c r="AN116" i="8" s="1"/>
  <c r="AR116" i="8" s="1"/>
  <c r="BB116" i="8"/>
  <c r="AV116" i="8" l="1"/>
  <c r="AL116" i="8"/>
  <c r="AM116" i="8" s="1"/>
  <c r="BG116" i="8" l="1"/>
  <c r="BI116" i="8"/>
  <c r="AO116" i="8"/>
  <c r="AP116" i="8" s="1"/>
  <c r="AX116" i="8"/>
  <c r="AQ116" i="8" l="1"/>
  <c r="AU116" i="8" s="1"/>
  <c r="AS116" i="8" l="1"/>
  <c r="AW117" i="8"/>
  <c r="AJ117" i="8" s="1"/>
  <c r="AH117" i="8" s="1"/>
  <c r="BD116" i="8"/>
  <c r="DB116" i="8" l="1"/>
  <c r="CA116" i="8"/>
  <c r="BU116" i="8" l="1"/>
  <c r="BX116" i="8"/>
  <c r="CD116" i="8" s="1"/>
  <c r="CE116" i="8" s="1"/>
  <c r="CF116" i="8" s="1"/>
  <c r="BV116" i="8"/>
  <c r="CC116" i="8"/>
  <c r="DF116" i="8"/>
  <c r="DC116" i="8"/>
  <c r="DE116" i="8"/>
  <c r="DD116" i="8" l="1"/>
  <c r="DG116" i="8" s="1"/>
  <c r="CG116" i="8"/>
  <c r="CH116" i="8" s="1"/>
  <c r="CO116" i="8" s="1"/>
  <c r="BW116" i="8"/>
  <c r="BY117" i="8" s="1"/>
  <c r="CB117" i="8" s="1"/>
  <c r="CS116" i="8" l="1"/>
  <c r="CR116" i="8"/>
  <c r="CP116" i="8"/>
  <c r="CQ116" i="8" l="1"/>
  <c r="CT116" i="8" s="1"/>
  <c r="BC116" i="8" s="1"/>
  <c r="BH116" i="8" s="1"/>
  <c r="BJ116" i="8" s="1"/>
  <c r="AI117" i="8" l="1"/>
  <c r="BA117" i="8" s="1"/>
  <c r="AB116" i="8"/>
  <c r="AC116" i="8"/>
  <c r="AN117" i="8"/>
  <c r="AR117" i="8" s="1"/>
  <c r="AX117" i="8"/>
  <c r="AK117" i="8" l="1"/>
  <c r="AV117" i="8" s="1"/>
  <c r="BB117" i="8"/>
  <c r="AL117" i="8" l="1"/>
  <c r="BD117" i="8"/>
  <c r="DB117" i="8" s="1"/>
  <c r="DE117" i="8" s="1"/>
  <c r="AW118" i="8"/>
  <c r="AM117" i="8" l="1"/>
  <c r="AO117" i="8" s="1"/>
  <c r="AQ117" i="8" s="1"/>
  <c r="AJ118" i="8" s="1"/>
  <c r="AH118" i="8" s="1"/>
  <c r="BI117" i="8"/>
  <c r="BG117" i="8"/>
  <c r="DF117" i="8"/>
  <c r="DD117" i="8" s="1"/>
  <c r="DG117" i="8" s="1"/>
  <c r="DC117" i="8"/>
  <c r="CA117" i="8"/>
  <c r="AP117" i="8" l="1"/>
  <c r="AS117" i="8"/>
  <c r="AU117" i="8"/>
  <c r="BV117" i="8"/>
  <c r="BX117" i="8"/>
  <c r="CD117" i="8" s="1"/>
  <c r="CE117" i="8" s="1"/>
  <c r="CF117" i="8" s="1"/>
  <c r="BU117" i="8"/>
  <c r="CC117" i="8"/>
  <c r="BW117" i="8" l="1"/>
  <c r="BY118" i="8" s="1"/>
  <c r="CB118" i="8" s="1"/>
  <c r="CG117" i="8"/>
  <c r="CH117" i="8" s="1"/>
  <c r="CO117" i="8" s="1"/>
  <c r="CP117" i="8" s="1"/>
  <c r="CS117" i="8" l="1"/>
  <c r="CR117" i="8"/>
  <c r="CQ117" i="8" l="1"/>
  <c r="CT117" i="8" s="1"/>
  <c r="BC117" i="8" s="1"/>
  <c r="BH117" i="8" s="1"/>
  <c r="BJ117" i="8" s="1"/>
  <c r="AI118" i="8" l="1"/>
  <c r="AK118" i="8" s="1"/>
  <c r="AL118" i="8" s="1"/>
  <c r="AB117" i="8"/>
  <c r="AC117" i="8"/>
  <c r="AN118" i="8"/>
  <c r="AR118" i="8" s="1"/>
  <c r="AV118" i="8" l="1"/>
  <c r="BA118" i="8"/>
  <c r="BB118" i="8"/>
  <c r="BG118" i="8" s="1"/>
  <c r="AM118" i="8"/>
  <c r="AO118" i="8" s="1"/>
  <c r="BI118" i="8"/>
  <c r="AP118" i="8" l="1"/>
  <c r="AQ118" i="8"/>
  <c r="AU118" i="8" l="1"/>
  <c r="AS118" i="8"/>
  <c r="AX118" i="8"/>
  <c r="AW119" i="8" l="1"/>
  <c r="AJ119" i="8" s="1"/>
  <c r="AH119" i="8" s="1"/>
  <c r="BD118" i="8"/>
  <c r="DB118" i="8" l="1"/>
  <c r="CA118" i="8"/>
  <c r="BV118" i="8" l="1"/>
  <c r="CC118" i="8"/>
  <c r="BU118" i="8"/>
  <c r="BX118" i="8"/>
  <c r="CD118" i="8" s="1"/>
  <c r="CE118" i="8" s="1"/>
  <c r="CF118" i="8" s="1"/>
  <c r="CG118" i="8" s="1"/>
  <c r="CH118" i="8" s="1"/>
  <c r="CO118" i="8" s="1"/>
  <c r="CP118" i="8" s="1"/>
  <c r="DC118" i="8"/>
  <c r="DE118" i="8"/>
  <c r="DF118" i="8"/>
  <c r="DD118" i="8" s="1"/>
  <c r="DG118" i="8" s="1"/>
  <c r="BW118" i="8" l="1"/>
  <c r="BY119" i="8" s="1"/>
  <c r="CB119" i="8" s="1"/>
  <c r="CR118" i="8"/>
  <c r="CS118" i="8"/>
  <c r="CQ118" i="8" l="1"/>
  <c r="CT118" i="8" s="1"/>
  <c r="BC118" i="8" s="1"/>
  <c r="BH118" i="8" s="1"/>
  <c r="BJ118" i="8" l="1"/>
  <c r="AI119" i="8" l="1"/>
  <c r="BA119" i="8" s="1"/>
  <c r="AC118" i="8"/>
  <c r="AB118" i="8"/>
  <c r="AN119" i="8"/>
  <c r="AR119" i="8" s="1"/>
  <c r="AK119" i="8" l="1"/>
  <c r="AV119" i="8" s="1"/>
  <c r="BB119" i="8"/>
  <c r="AL119" i="8" l="1"/>
  <c r="BI119" i="8" s="1"/>
  <c r="AM119" i="8" l="1"/>
  <c r="AO119" i="8" s="1"/>
  <c r="AP119" i="8" s="1"/>
  <c r="BG119" i="8"/>
  <c r="AQ119" i="8" l="1"/>
  <c r="AU119" i="8" s="1"/>
  <c r="BD119" i="8"/>
  <c r="DB119" i="8" s="1"/>
  <c r="DE119" i="8" s="1"/>
  <c r="AW120" i="8"/>
  <c r="AX119" i="8"/>
  <c r="AJ120" i="8" l="1"/>
  <c r="AH120" i="8" s="1"/>
  <c r="AS119" i="8"/>
  <c r="CA119" i="8"/>
  <c r="BU119" i="8" s="1"/>
  <c r="DC119" i="8"/>
  <c r="DF119" i="8"/>
  <c r="DD119" i="8" s="1"/>
  <c r="DG119" i="8" s="1"/>
  <c r="BX119" i="8" l="1"/>
  <c r="CD119" i="8" s="1"/>
  <c r="CE119" i="8" s="1"/>
  <c r="CF119" i="8" s="1"/>
  <c r="BV119" i="8"/>
  <c r="BW119" i="8" s="1"/>
  <c r="BY120" i="8" s="1"/>
  <c r="CB120" i="8" s="1"/>
  <c r="CC119" i="8"/>
  <c r="CG119" i="8" l="1"/>
  <c r="CH119" i="8" s="1"/>
  <c r="CO119" i="8" s="1"/>
  <c r="CR119" i="8" s="1"/>
  <c r="CS119" i="8" l="1"/>
  <c r="CQ119" i="8" s="1"/>
  <c r="CT119" i="8" s="1"/>
  <c r="BC119" i="8" s="1"/>
  <c r="BH119" i="8" s="1"/>
  <c r="BJ119" i="8" s="1"/>
  <c r="CP119" i="8"/>
  <c r="AI120" i="8" l="1"/>
  <c r="BA120" i="8" s="1"/>
  <c r="AC119" i="8"/>
  <c r="AB119" i="8"/>
  <c r="BB120" i="8" l="1"/>
  <c r="AK120" i="8"/>
  <c r="AN120" i="8" s="1"/>
  <c r="AR120" i="8" s="1"/>
  <c r="AV120" i="8" l="1"/>
  <c r="AL120" i="8"/>
  <c r="BI120" i="8" s="1"/>
  <c r="AW121" i="8"/>
  <c r="BD120" i="8"/>
  <c r="AM120" i="8" l="1"/>
  <c r="AO120" i="8" s="1"/>
  <c r="AP120" i="8" s="1"/>
  <c r="BG120" i="8"/>
  <c r="CA120" i="8"/>
  <c r="BU120" i="8" s="1"/>
  <c r="DB120" i="8"/>
  <c r="DF120" i="8" s="1"/>
  <c r="AX120" i="8"/>
  <c r="BX120" i="8"/>
  <c r="AQ120" i="8" l="1"/>
  <c r="AU120" i="8" s="1"/>
  <c r="BV120" i="8"/>
  <c r="BW120" i="8" s="1"/>
  <c r="BY121" i="8" s="1"/>
  <c r="CB121" i="8" s="1"/>
  <c r="CC120" i="8"/>
  <c r="DC120" i="8"/>
  <c r="DE120" i="8"/>
  <c r="DD120" i="8" s="1"/>
  <c r="DG120" i="8" s="1"/>
  <c r="CD120" i="8"/>
  <c r="CE120" i="8" s="1"/>
  <c r="CF120" i="8" s="1"/>
  <c r="AJ121" i="8" l="1"/>
  <c r="AH121" i="8" s="1"/>
  <c r="AS120" i="8"/>
  <c r="CG120" i="8"/>
  <c r="CH120" i="8" s="1"/>
  <c r="CO120" i="8" s="1"/>
  <c r="CR120" i="8" s="1"/>
  <c r="CS120" i="8" l="1"/>
  <c r="CQ120" i="8" s="1"/>
  <c r="CT120" i="8" s="1"/>
  <c r="BC120" i="8" s="1"/>
  <c r="BH120" i="8" s="1"/>
  <c r="CP120" i="8"/>
  <c r="BJ120" i="8" l="1"/>
  <c r="AI121" i="8" l="1"/>
  <c r="AK121" i="8" s="1"/>
  <c r="AC120" i="8"/>
  <c r="AB120" i="8"/>
  <c r="BB121" i="8" l="1"/>
  <c r="BA121" i="8"/>
  <c r="AN121" i="8"/>
  <c r="AR121" i="8" s="1"/>
  <c r="AV121" i="8"/>
  <c r="AL121" i="8"/>
  <c r="AM121" i="8" l="1"/>
  <c r="AO121" i="8" s="1"/>
  <c r="BI121" i="8"/>
  <c r="BG121" i="8"/>
  <c r="AP121" i="8" l="1"/>
  <c r="AQ121" i="8"/>
  <c r="AS121" i="8" l="1"/>
  <c r="AU121" i="8"/>
  <c r="AX121" i="8"/>
  <c r="AW122" i="8" l="1"/>
  <c r="AJ122" i="8" s="1"/>
  <c r="AH122" i="8" s="1"/>
  <c r="BD121" i="8"/>
  <c r="DB121" i="8" l="1"/>
  <c r="CA121" i="8"/>
  <c r="BV121" i="8" l="1"/>
  <c r="BU121" i="8"/>
  <c r="CC121" i="8"/>
  <c r="BX121" i="8"/>
  <c r="CD121" i="8" s="1"/>
  <c r="CE121" i="8" s="1"/>
  <c r="CF121" i="8" s="1"/>
  <c r="DE121" i="8"/>
  <c r="DF121" i="8"/>
  <c r="DC121" i="8"/>
  <c r="DD121" i="8" l="1"/>
  <c r="DG121" i="8" s="1"/>
  <c r="BW121" i="8"/>
  <c r="BY122" i="8" s="1"/>
  <c r="CB122" i="8" s="1"/>
  <c r="CG121" i="8"/>
  <c r="CH121" i="8" s="1"/>
  <c r="CO121" i="8" s="1"/>
  <c r="CS121" i="8" s="1"/>
  <c r="CP121" i="8" l="1"/>
  <c r="CR121" i="8"/>
  <c r="CB130" i="8"/>
  <c r="CQ121" i="8" l="1"/>
  <c r="CT121" i="8" s="1"/>
  <c r="BC121" i="8" s="1"/>
  <c r="BH121" i="8" s="1"/>
  <c r="BJ121" i="8" s="1"/>
  <c r="AI122" i="8" l="1"/>
  <c r="BB122" i="8" s="1"/>
  <c r="AC121" i="8"/>
  <c r="AB121" i="8"/>
  <c r="AX122" i="8"/>
  <c r="AK122" i="8" l="1"/>
  <c r="AN122" i="8" s="1"/>
  <c r="AR122" i="8" s="1"/>
  <c r="BA122" i="8"/>
  <c r="AL122" i="8" l="1"/>
  <c r="AV122" i="8"/>
  <c r="BI122" i="8" l="1"/>
  <c r="BG122" i="8"/>
  <c r="AM122" i="8"/>
  <c r="AO122" i="8" l="1"/>
  <c r="AP122" i="8" s="1"/>
  <c r="AQ122" i="8" l="1"/>
  <c r="AS122" i="8" s="1"/>
  <c r="AW123" i="8"/>
  <c r="BD122" i="8"/>
  <c r="AJ123" i="8" l="1"/>
  <c r="AH123" i="8" s="1"/>
  <c r="AU122" i="8"/>
  <c r="CA122" i="8"/>
  <c r="DB122" i="8"/>
  <c r="DE122" i="8" l="1"/>
  <c r="DF122" i="8"/>
  <c r="DC122" i="8"/>
  <c r="CC122" i="8"/>
  <c r="BV122" i="8"/>
  <c r="BU122" i="8"/>
  <c r="BX122" i="8"/>
  <c r="CD122" i="8" s="1"/>
  <c r="CE122" i="8" s="1"/>
  <c r="CF122" i="8" s="1"/>
  <c r="CB131" i="8"/>
  <c r="CG122" i="8" l="1"/>
  <c r="CH122" i="8" s="1"/>
  <c r="CO122" i="8" s="1"/>
  <c r="CR122" i="8" s="1"/>
  <c r="DD122" i="8"/>
  <c r="DG122" i="8" s="1"/>
  <c r="BW122" i="8"/>
  <c r="BY123" i="8" s="1"/>
  <c r="CB123" i="8" s="1"/>
  <c r="CS122" i="8" l="1"/>
  <c r="CQ122" i="8" s="1"/>
  <c r="CT122" i="8" s="1"/>
  <c r="BC122" i="8" s="1"/>
  <c r="BH122" i="8" s="1"/>
  <c r="BJ122" i="8" s="1"/>
  <c r="AI123" i="8" s="1"/>
  <c r="CP122" i="8"/>
  <c r="BA123" i="8" l="1"/>
  <c r="BB123" i="8"/>
  <c r="AK123" i="8"/>
  <c r="AN123" i="8" s="1"/>
  <c r="AR123" i="8" s="1"/>
  <c r="AB122" i="8"/>
  <c r="AC122" i="8"/>
  <c r="AV123" i="8" l="1"/>
  <c r="AL123" i="8"/>
  <c r="BI123" i="8" s="1"/>
  <c r="BG123" i="8" l="1"/>
  <c r="AM123" i="8"/>
  <c r="AO123" i="8" s="1"/>
  <c r="AP123" i="8" s="1"/>
  <c r="AW124" i="8"/>
  <c r="BD123" i="8"/>
  <c r="AQ123" i="8" l="1"/>
  <c r="AJ124" i="8" s="1"/>
  <c r="AH124" i="8" s="1"/>
  <c r="AX123" i="8"/>
  <c r="DB123" i="8"/>
  <c r="CA123" i="8"/>
  <c r="AS123" i="8" l="1"/>
  <c r="AU123" i="8"/>
  <c r="BU123" i="8"/>
  <c r="CC123" i="8"/>
  <c r="BX123" i="8"/>
  <c r="CD123" i="8" s="1"/>
  <c r="CE123" i="8" s="1"/>
  <c r="CF123" i="8" s="1"/>
  <c r="CG123" i="8" s="1"/>
  <c r="CH123" i="8" s="1"/>
  <c r="CO123" i="8" s="1"/>
  <c r="CS123" i="8" s="1"/>
  <c r="BV123" i="8"/>
  <c r="DC123" i="8"/>
  <c r="DE123" i="8"/>
  <c r="DF123" i="8"/>
  <c r="DD123" i="8" l="1"/>
  <c r="DG123" i="8" s="1"/>
  <c r="CP123" i="8"/>
  <c r="CR123" i="8"/>
  <c r="CQ123" i="8" s="1"/>
  <c r="CT123" i="8" s="1"/>
  <c r="BW123" i="8"/>
  <c r="CB124" i="8" s="1"/>
  <c r="BC123" i="8" l="1"/>
  <c r="BH123" i="8" s="1"/>
  <c r="BJ123" i="8" s="1"/>
  <c r="CB132" i="8"/>
  <c r="AI124" i="8" l="1"/>
  <c r="AK124" i="8" s="1"/>
  <c r="AC123" i="8"/>
  <c r="AB123" i="8"/>
  <c r="BA124" i="8" l="1"/>
  <c r="BB124" i="8"/>
  <c r="AN124" i="8"/>
  <c r="AR124" i="8" s="1"/>
  <c r="AV124" i="8"/>
  <c r="AL124" i="8"/>
  <c r="AM124" i="8" l="1"/>
  <c r="AO124" i="8" s="1"/>
  <c r="BI124" i="8"/>
  <c r="BG124" i="8"/>
  <c r="AP124" i="8" l="1"/>
  <c r="AQ124" i="8"/>
  <c r="AS124" i="8" l="1"/>
  <c r="AU124" i="8"/>
  <c r="AX124" i="8"/>
  <c r="AW125" i="8" l="1"/>
  <c r="AJ125" i="8" s="1"/>
  <c r="AH125" i="8" s="1"/>
  <c r="BD124" i="8"/>
  <c r="DB124" i="8" l="1"/>
  <c r="CA124" i="8"/>
  <c r="CB133" i="8"/>
  <c r="CC124" i="8" l="1"/>
  <c r="BU124" i="8"/>
  <c r="BX124" i="8"/>
  <c r="CD124" i="8" s="1"/>
  <c r="CE124" i="8" s="1"/>
  <c r="CF124" i="8" s="1"/>
  <c r="BV124" i="8"/>
  <c r="DE124" i="8"/>
  <c r="DF124" i="8"/>
  <c r="DC124" i="8"/>
  <c r="DD124" i="8" l="1"/>
  <c r="DG124" i="8" s="1"/>
  <c r="CG124" i="8"/>
  <c r="CH124" i="8" s="1"/>
  <c r="CO124" i="8" s="1"/>
  <c r="CP124" i="8" s="1"/>
  <c r="BW124" i="8"/>
  <c r="CB125" i="8" s="1"/>
  <c r="CR124" i="8" l="1"/>
  <c r="CS124" i="8"/>
  <c r="CQ124" i="8" l="1"/>
  <c r="CT124" i="8" s="1"/>
  <c r="BC124" i="8" s="1"/>
  <c r="BH124" i="8" s="1"/>
  <c r="BJ124" i="8" s="1"/>
  <c r="AI125" i="8" s="1"/>
  <c r="BA125" i="8" s="1"/>
  <c r="AC124" i="8" l="1"/>
  <c r="AB124" i="8"/>
  <c r="BB125" i="8"/>
  <c r="AK125" i="8"/>
  <c r="AN125" i="8" s="1"/>
  <c r="AR125" i="8" s="1"/>
  <c r="AL125" i="8" l="1"/>
  <c r="AV125" i="8"/>
  <c r="CB134" i="8"/>
  <c r="BI125" i="8" l="1"/>
  <c r="AM125" i="8"/>
  <c r="BG125" i="8"/>
  <c r="AX125" i="8"/>
  <c r="AO125" i="8" l="1"/>
  <c r="AP125" i="8" s="1"/>
  <c r="AQ125" i="8" l="1"/>
  <c r="AU125" i="8" s="1"/>
  <c r="AW126" i="8"/>
  <c r="BD125" i="8"/>
  <c r="AJ126" i="8" l="1"/>
  <c r="AH126" i="8" s="1"/>
  <c r="AS125" i="8"/>
  <c r="CA125" i="8"/>
  <c r="DB125" i="8"/>
  <c r="DF125" i="8" l="1"/>
  <c r="DC125" i="8"/>
  <c r="DE125" i="8"/>
  <c r="BV125" i="8"/>
  <c r="BU125" i="8"/>
  <c r="BX125" i="8"/>
  <c r="CD125" i="8" s="1"/>
  <c r="CE125" i="8" s="1"/>
  <c r="CF125" i="8" s="1"/>
  <c r="CC125" i="8"/>
  <c r="CB135" i="8"/>
  <c r="CG125" i="8" l="1"/>
  <c r="CH125" i="8" s="1"/>
  <c r="CO125" i="8" s="1"/>
  <c r="CS125" i="8" s="1"/>
  <c r="DD125" i="8"/>
  <c r="DG125" i="8" s="1"/>
  <c r="BW125" i="8"/>
  <c r="CB126" i="8" s="1"/>
  <c r="CR125" i="8" l="1"/>
  <c r="CQ125" i="8" s="1"/>
  <c r="CT125" i="8" s="1"/>
  <c r="BC125" i="8" s="1"/>
  <c r="BH125" i="8" s="1"/>
  <c r="BJ125" i="8" s="1"/>
  <c r="CP125" i="8"/>
  <c r="AN126" i="8"/>
  <c r="AR126" i="8" s="1"/>
  <c r="AI126" i="8" l="1"/>
  <c r="AK126" i="8" s="1"/>
  <c r="AL126" i="8" s="1"/>
  <c r="AC125" i="8"/>
  <c r="AB125" i="8"/>
  <c r="BI126" i="8" l="1"/>
  <c r="AM126" i="8"/>
  <c r="BB126" i="8"/>
  <c r="BG126" i="8" s="1"/>
  <c r="AV126" i="8"/>
  <c r="BA126" i="8"/>
  <c r="AW127" i="8"/>
  <c r="BD126" i="8"/>
  <c r="AO126" i="8" l="1"/>
  <c r="AP126" i="8" s="1"/>
  <c r="DB126" i="8"/>
  <c r="DF126" i="8" s="1"/>
  <c r="CA126" i="8"/>
  <c r="BV126" i="8" s="1"/>
  <c r="AX126" i="8"/>
  <c r="DE126" i="8" l="1"/>
  <c r="DD126" i="8" s="1"/>
  <c r="DG126" i="8" s="1"/>
  <c r="DC126" i="8"/>
  <c r="BX126" i="8"/>
  <c r="CD126" i="8" s="1"/>
  <c r="CE126" i="8" s="1"/>
  <c r="CF126" i="8" s="1"/>
  <c r="AQ126" i="8"/>
  <c r="AU126" i="8" s="1"/>
  <c r="BU126" i="8"/>
  <c r="BW126" i="8" s="1"/>
  <c r="CB127" i="8" s="1"/>
  <c r="CC126" i="8"/>
  <c r="AJ127" i="8" l="1"/>
  <c r="AH127" i="8" s="1"/>
  <c r="AS126" i="8"/>
  <c r="CG126" i="8"/>
  <c r="CH126" i="8" s="1"/>
  <c r="CO126" i="8" s="1"/>
  <c r="CR126" i="8" s="1"/>
  <c r="CB136" i="8"/>
  <c r="CS126" i="8" l="1"/>
  <c r="CQ126" i="8" s="1"/>
  <c r="CP126" i="8"/>
  <c r="CT126" i="8" l="1"/>
  <c r="BC126" i="8" s="1"/>
  <c r="BH126" i="8" s="1"/>
  <c r="BJ126" i="8" l="1"/>
  <c r="AI127" i="8" l="1"/>
  <c r="AK127" i="8" s="1"/>
  <c r="AC126" i="8"/>
  <c r="AB126" i="8"/>
  <c r="BA127" i="8" l="1"/>
  <c r="BB127" i="8"/>
  <c r="AN127" i="8"/>
  <c r="AR127" i="8" s="1"/>
  <c r="AV127" i="8"/>
  <c r="AL127" i="8"/>
  <c r="CB137" i="8"/>
  <c r="AM127" i="8" l="1"/>
  <c r="AO127" i="8" s="1"/>
  <c r="BG127" i="8"/>
  <c r="BI127" i="8"/>
  <c r="AP127" i="8" l="1"/>
  <c r="AQ127" i="8"/>
  <c r="AX127" i="8"/>
  <c r="AU127" i="8" l="1"/>
  <c r="AS127" i="8"/>
  <c r="AW128" i="8" l="1"/>
  <c r="AJ128" i="8" s="1"/>
  <c r="AH128" i="8" s="1"/>
  <c r="BD127" i="8"/>
  <c r="DB127" i="8" l="1"/>
  <c r="CA127" i="8"/>
  <c r="CC127" i="8" l="1"/>
  <c r="BU127" i="8"/>
  <c r="BV127" i="8"/>
  <c r="BX127" i="8"/>
  <c r="CD127" i="8" s="1"/>
  <c r="CE127" i="8" s="1"/>
  <c r="CF127" i="8" s="1"/>
  <c r="CG127" i="8" s="1"/>
  <c r="CH127" i="8" s="1"/>
  <c r="CO127" i="8" s="1"/>
  <c r="DC127" i="8"/>
  <c r="DE127" i="8"/>
  <c r="DF127" i="8"/>
  <c r="DD127" i="8" s="1"/>
  <c r="DG127" i="8" s="1"/>
  <c r="CR127" i="8" l="1"/>
  <c r="CP127" i="8"/>
  <c r="CS127" i="8"/>
  <c r="BW127" i="8"/>
  <c r="CB128" i="8" s="1"/>
  <c r="CB138" i="8"/>
  <c r="CQ127" i="8" l="1"/>
  <c r="CT127" i="8" s="1"/>
  <c r="BC127" i="8" s="1"/>
  <c r="BH127" i="8" s="1"/>
  <c r="BJ127" i="8" s="1"/>
  <c r="AI128" i="8" l="1"/>
  <c r="BA128" i="8" s="1"/>
  <c r="AB127" i="8"/>
  <c r="AC127" i="8"/>
  <c r="AK128" i="8" l="1"/>
  <c r="AL128" i="8" s="1"/>
  <c r="BB128" i="8"/>
  <c r="AN128" i="8"/>
  <c r="AR128" i="8" s="1"/>
  <c r="AV128" i="8" l="1"/>
  <c r="BI128" i="8"/>
  <c r="AM128" i="8"/>
  <c r="AO128" i="8" s="1"/>
  <c r="BG128" i="8"/>
  <c r="AX128" i="8"/>
  <c r="AP128" i="8" l="1"/>
  <c r="AQ128" i="8"/>
  <c r="CB139" i="8"/>
  <c r="AU128" i="8" l="1"/>
  <c r="AS128" i="8"/>
  <c r="AW129" i="8" l="1"/>
  <c r="AJ129" i="8" s="1"/>
  <c r="AH129" i="8" s="1"/>
  <c r="BD128" i="8"/>
  <c r="DB128" i="8" l="1"/>
  <c r="CA128" i="8"/>
  <c r="BV128" i="8" l="1"/>
  <c r="BU128" i="8"/>
  <c r="BX128" i="8"/>
  <c r="CD128" i="8" s="1"/>
  <c r="CE128" i="8" s="1"/>
  <c r="CF128" i="8" s="1"/>
  <c r="CC128" i="8"/>
  <c r="DC128" i="8"/>
  <c r="DE128" i="8"/>
  <c r="DF128" i="8"/>
  <c r="DD128" i="8" l="1"/>
  <c r="DG128" i="8" s="1"/>
  <c r="CG128" i="8"/>
  <c r="CH128" i="8" s="1"/>
  <c r="CO128" i="8" s="1"/>
  <c r="CR128" i="8" s="1"/>
  <c r="BW128" i="8"/>
  <c r="CB129" i="8" s="1"/>
  <c r="CP128" i="8" l="1"/>
  <c r="CS128" i="8"/>
  <c r="CQ128" i="8" s="1"/>
  <c r="CT128" i="8" s="1"/>
  <c r="BC128" i="8" s="1"/>
  <c r="BH128" i="8" s="1"/>
  <c r="BJ128" i="8" s="1"/>
  <c r="AI129" i="8" l="1"/>
  <c r="BA129" i="8" s="1"/>
  <c r="AB128" i="8"/>
  <c r="AC128" i="8"/>
  <c r="AN129" i="8"/>
  <c r="AR129" i="8" s="1"/>
  <c r="AW130" i="8"/>
  <c r="BD129" i="8"/>
  <c r="BB129" i="8" l="1"/>
  <c r="CA129" i="8" s="1"/>
  <c r="AK129" i="8"/>
  <c r="AV129" i="8" s="1"/>
  <c r="AX129" i="8"/>
  <c r="CB140" i="8"/>
  <c r="BU129" i="8" l="1"/>
  <c r="BX129" i="8"/>
  <c r="CD129" i="8" s="1"/>
  <c r="CE129" i="8" s="1"/>
  <c r="CF129" i="8" s="1"/>
  <c r="DB129" i="8"/>
  <c r="AL129" i="8"/>
  <c r="BV129" i="8"/>
  <c r="CC129" i="8"/>
  <c r="BW129" i="8" l="1"/>
  <c r="CG129" i="8"/>
  <c r="CH129" i="8" s="1"/>
  <c r="CO129" i="8" s="1"/>
  <c r="CP129" i="8" s="1"/>
  <c r="DF129" i="8"/>
  <c r="DC129" i="8"/>
  <c r="DE129" i="8"/>
  <c r="AM129" i="8"/>
  <c r="AO129" i="8" s="1"/>
  <c r="AQ129" i="8" s="1"/>
  <c r="AS129" i="8" s="1"/>
  <c r="BG129" i="8"/>
  <c r="BI129" i="8"/>
  <c r="CS129" i="8" l="1"/>
  <c r="CR129" i="8"/>
  <c r="DD129" i="8"/>
  <c r="DG129" i="8" s="1"/>
  <c r="AP129" i="8"/>
  <c r="AU129" i="8"/>
  <c r="AJ130" i="8"/>
  <c r="AH130" i="8" s="1"/>
  <c r="CQ129" i="8" l="1"/>
  <c r="CT129" i="8" s="1"/>
  <c r="BC129" i="8" s="1"/>
  <c r="BH129" i="8" s="1"/>
  <c r="BJ129" i="8" l="1"/>
  <c r="AI130" i="8" l="1"/>
  <c r="BB130" i="8" s="1"/>
  <c r="AC129" i="8"/>
  <c r="AB129" i="8"/>
  <c r="BA130" i="8" l="1"/>
  <c r="AK130" i="8"/>
  <c r="AL130" i="8" s="1"/>
  <c r="AN130" i="8"/>
  <c r="AR130" i="8" s="1"/>
  <c r="CB141" i="8"/>
  <c r="AV130" i="8" l="1"/>
  <c r="BI130" i="8"/>
  <c r="AM130" i="8"/>
  <c r="AO130" i="8" s="1"/>
  <c r="BG130" i="8"/>
  <c r="AP130" i="8" l="1"/>
  <c r="AQ130" i="8"/>
  <c r="AX130" i="8"/>
  <c r="AS130" i="8" l="1"/>
  <c r="AU130" i="8"/>
  <c r="AW131" i="8" l="1"/>
  <c r="AJ131" i="8" s="1"/>
  <c r="AH131" i="8" s="1"/>
  <c r="BD130" i="8"/>
  <c r="DB130" i="8" l="1"/>
  <c r="CA130" i="8"/>
  <c r="DC130" i="8" l="1"/>
  <c r="DE130" i="8"/>
  <c r="DF130" i="8"/>
  <c r="DD130" i="8" s="1"/>
  <c r="BU130" i="8"/>
  <c r="CC130" i="8"/>
  <c r="BV130" i="8"/>
  <c r="BX130" i="8"/>
  <c r="CD130" i="8" s="1"/>
  <c r="CE130" i="8" s="1"/>
  <c r="CF130" i="8" s="1"/>
  <c r="CG130" i="8" l="1"/>
  <c r="CH130" i="8" s="1"/>
  <c r="CO130" i="8" s="1"/>
  <c r="CP130" i="8" s="1"/>
  <c r="DG130" i="8"/>
  <c r="BW130" i="8"/>
  <c r="CB142" i="8"/>
  <c r="CR130" i="8" l="1"/>
  <c r="CS130" i="8"/>
  <c r="CQ130" i="8" l="1"/>
  <c r="CT130" i="8" s="1"/>
  <c r="BC130" i="8" s="1"/>
  <c r="BH130" i="8" s="1"/>
  <c r="BJ130" i="8" s="1"/>
  <c r="AI131" i="8" s="1"/>
  <c r="BA131" i="8" s="1"/>
  <c r="AC130" i="8" l="1"/>
  <c r="AB130" i="8"/>
  <c r="BB131" i="8"/>
  <c r="AK131" i="8"/>
  <c r="AN131" i="8" s="1"/>
  <c r="AR131" i="8" s="1"/>
  <c r="AL131" i="8" l="1"/>
  <c r="AV131" i="8"/>
  <c r="BI131" i="8" l="1"/>
  <c r="AM131" i="8"/>
  <c r="BG131" i="8"/>
  <c r="AX131" i="8"/>
  <c r="AO131" i="8" l="1"/>
  <c r="AP131" i="8" s="1"/>
  <c r="AQ131" i="8" l="1"/>
  <c r="AS131" i="8" s="1"/>
  <c r="AW132" i="8"/>
  <c r="BD131" i="8"/>
  <c r="CB143" i="8"/>
  <c r="AJ132" i="8" l="1"/>
  <c r="AH132" i="8" s="1"/>
  <c r="AU131" i="8"/>
  <c r="CA131" i="8"/>
  <c r="DB131" i="8"/>
  <c r="DF131" i="8" l="1"/>
  <c r="DC131" i="8"/>
  <c r="DE131" i="8"/>
  <c r="BV131" i="8"/>
  <c r="CC131" i="8"/>
  <c r="BU131" i="8"/>
  <c r="BX131" i="8"/>
  <c r="CD131" i="8" s="1"/>
  <c r="CE131" i="8" s="1"/>
  <c r="CF131" i="8" s="1"/>
  <c r="CG131" i="8" l="1"/>
  <c r="CH131" i="8" s="1"/>
  <c r="CO131" i="8" s="1"/>
  <c r="CS131" i="8" s="1"/>
  <c r="DD131" i="8"/>
  <c r="DG131" i="8" s="1"/>
  <c r="BW131" i="8"/>
  <c r="CR131" i="8" l="1"/>
  <c r="CQ131" i="8" s="1"/>
  <c r="CT131" i="8" s="1"/>
  <c r="BC131" i="8" s="1"/>
  <c r="BH131" i="8" s="1"/>
  <c r="BJ131" i="8" s="1"/>
  <c r="CP131" i="8"/>
  <c r="AI132" i="8" l="1"/>
  <c r="BB132" i="8" s="1"/>
  <c r="AB131" i="8"/>
  <c r="AC131" i="8"/>
  <c r="CB144" i="8"/>
  <c r="BA132" i="8" l="1"/>
  <c r="AK132" i="8"/>
  <c r="AN132" i="8" s="1"/>
  <c r="AR132" i="8" s="1"/>
  <c r="AV132" i="8" l="1"/>
  <c r="AL132" i="8"/>
  <c r="AM132" i="8" s="1"/>
  <c r="BG132" i="8" l="1"/>
  <c r="BI132" i="8"/>
  <c r="AO132" i="8"/>
  <c r="AP132" i="8" s="1"/>
  <c r="AW133" i="8"/>
  <c r="BD132" i="8"/>
  <c r="AQ132" i="8" l="1"/>
  <c r="AS132" i="8" s="1"/>
  <c r="CA132" i="8"/>
  <c r="BV132" i="8" s="1"/>
  <c r="DB132" i="8"/>
  <c r="DF132" i="8" s="1"/>
  <c r="AX132" i="8"/>
  <c r="BX132" i="8" l="1"/>
  <c r="CD132" i="8" s="1"/>
  <c r="CE132" i="8" s="1"/>
  <c r="CF132" i="8" s="1"/>
  <c r="AU132" i="8"/>
  <c r="AJ133" i="8"/>
  <c r="AH133" i="8" s="1"/>
  <c r="DC132" i="8"/>
  <c r="DE132" i="8"/>
  <c r="BU132" i="8"/>
  <c r="BW132" i="8" s="1"/>
  <c r="CC132" i="8"/>
  <c r="DD132" i="8"/>
  <c r="DG132" i="8" s="1"/>
  <c r="CG132" i="8" l="1"/>
  <c r="CH132" i="8" s="1"/>
  <c r="CO132" i="8" s="1"/>
  <c r="CR132" i="8" s="1"/>
  <c r="CB145" i="8"/>
  <c r="CS132" i="8" l="1"/>
  <c r="CQ132" i="8" s="1"/>
  <c r="CT132" i="8" s="1"/>
  <c r="BC132" i="8" s="1"/>
  <c r="BH132" i="8" s="1"/>
  <c r="CP132" i="8"/>
  <c r="BJ132" i="8" l="1"/>
  <c r="AI133" i="8" l="1"/>
  <c r="BB133" i="8" s="1"/>
  <c r="AB132" i="8"/>
  <c r="AC132" i="8"/>
  <c r="AK133" i="8" l="1"/>
  <c r="AN133" i="8" s="1"/>
  <c r="AR133" i="8" s="1"/>
  <c r="BA133" i="8"/>
  <c r="AL133" i="8" l="1"/>
  <c r="AM133" i="8" s="1"/>
  <c r="AO133" i="8" s="1"/>
  <c r="AP133" i="8" s="1"/>
  <c r="AV133" i="8"/>
  <c r="BG133" i="8" l="1"/>
  <c r="BI133" i="8"/>
  <c r="AQ133" i="8"/>
  <c r="AS133" i="8" s="1"/>
  <c r="AW134" i="8"/>
  <c r="BD133" i="8"/>
  <c r="AJ134" i="8" l="1"/>
  <c r="AH134" i="8" s="1"/>
  <c r="AU133" i="8"/>
  <c r="AX133" i="8"/>
  <c r="DB133" i="8"/>
  <c r="CA133" i="8"/>
  <c r="CB146" i="8"/>
  <c r="DF133" i="8" l="1"/>
  <c r="DC133" i="8"/>
  <c r="DE133" i="8"/>
  <c r="BV133" i="8"/>
  <c r="CC133" i="8"/>
  <c r="BU133" i="8"/>
  <c r="BX133" i="8"/>
  <c r="BW133" i="8" l="1"/>
  <c r="CD133" i="8"/>
  <c r="CE133" i="8" s="1"/>
  <c r="CF133" i="8" s="1"/>
  <c r="CG133" i="8" s="1"/>
  <c r="CH133" i="8" s="1"/>
  <c r="CO133" i="8" s="1"/>
  <c r="DD133" i="8"/>
  <c r="DG133" i="8" s="1"/>
  <c r="CR133" i="8" l="1"/>
  <c r="CS133" i="8"/>
  <c r="CP133" i="8"/>
  <c r="CQ133" i="8" l="1"/>
  <c r="CT133" i="8" s="1"/>
  <c r="BC133" i="8" s="1"/>
  <c r="BH133" i="8" s="1"/>
  <c r="BJ133" i="8" l="1"/>
  <c r="AI134" i="8" l="1"/>
  <c r="AK134" i="8" s="1"/>
  <c r="AB133" i="8"/>
  <c r="AC133" i="8"/>
  <c r="BA134" i="8" l="1"/>
  <c r="BB134" i="8"/>
  <c r="AN134" i="8"/>
  <c r="AR134" i="8" s="1"/>
  <c r="AL134" i="8"/>
  <c r="AV134" i="8"/>
  <c r="CB147" i="8"/>
  <c r="AM134" i="8" l="1"/>
  <c r="AO134" i="8" s="1"/>
  <c r="BI134" i="8"/>
  <c r="BG134" i="8"/>
  <c r="AP134" i="8" l="1"/>
  <c r="AQ134" i="8"/>
  <c r="AX134" i="8"/>
  <c r="AS134" i="8" l="1"/>
  <c r="AU134" i="8"/>
  <c r="AW135" i="8" l="1"/>
  <c r="AJ135" i="8" s="1"/>
  <c r="AH135" i="8" s="1"/>
  <c r="BD134" i="8"/>
  <c r="DB134" i="8" l="1"/>
  <c r="CA134" i="8"/>
  <c r="CC134" i="8" l="1"/>
  <c r="BU134" i="8"/>
  <c r="BV134" i="8"/>
  <c r="BX134" i="8"/>
  <c r="CD134" i="8" s="1"/>
  <c r="CE134" i="8" s="1"/>
  <c r="CF134" i="8" s="1"/>
  <c r="CG134" i="8" s="1"/>
  <c r="CH134" i="8" s="1"/>
  <c r="CO134" i="8" s="1"/>
  <c r="CP134" i="8" s="1"/>
  <c r="DC134" i="8"/>
  <c r="DF134" i="8"/>
  <c r="DE134" i="8"/>
  <c r="DD134" i="8" l="1"/>
  <c r="DG134" i="8" s="1"/>
  <c r="CS134" i="8"/>
  <c r="CR134" i="8"/>
  <c r="BW134" i="8"/>
  <c r="CQ134" i="8" l="1"/>
  <c r="CT134" i="8" s="1"/>
  <c r="BC134" i="8" s="1"/>
  <c r="BH134" i="8" s="1"/>
  <c r="BJ134" i="8" s="1"/>
  <c r="CB148" i="8"/>
  <c r="AI135" i="8" l="1"/>
  <c r="BA135" i="8" s="1"/>
  <c r="AC134" i="8"/>
  <c r="AB134" i="8"/>
  <c r="BB135" i="8" l="1"/>
  <c r="AK135" i="8"/>
  <c r="AV135" i="8" s="1"/>
  <c r="AN135" i="8"/>
  <c r="AR135" i="8" s="1"/>
  <c r="AL135" i="8" l="1"/>
  <c r="AM135" i="8" s="1"/>
  <c r="AO135" i="8" s="1"/>
  <c r="AX135" i="8"/>
  <c r="BI135" i="8" l="1"/>
  <c r="BG135" i="8"/>
  <c r="AP135" i="8"/>
  <c r="AQ135" i="8"/>
  <c r="AU135" i="8" l="1"/>
  <c r="AS135" i="8"/>
  <c r="AW136" i="8" l="1"/>
  <c r="AJ136" i="8" s="1"/>
  <c r="AH136" i="8" s="1"/>
  <c r="BD135" i="8"/>
  <c r="CA135" i="8" l="1"/>
  <c r="DB135" i="8"/>
  <c r="DC135" i="8" l="1"/>
  <c r="DF135" i="8"/>
  <c r="DE135" i="8"/>
  <c r="BV135" i="8"/>
  <c r="CC135" i="8"/>
  <c r="BX135" i="8"/>
  <c r="CD135" i="8" s="1"/>
  <c r="CE135" i="8" s="1"/>
  <c r="CF135" i="8" s="1"/>
  <c r="CG135" i="8" s="1"/>
  <c r="CH135" i="8" s="1"/>
  <c r="CO135" i="8" s="1"/>
  <c r="BU135" i="8"/>
  <c r="CB149" i="8"/>
  <c r="BW135" i="8" l="1"/>
  <c r="DD135" i="8"/>
  <c r="DG135" i="8" s="1"/>
  <c r="CP135" i="8"/>
  <c r="CS135" i="8"/>
  <c r="CR135" i="8"/>
  <c r="CQ135" i="8" l="1"/>
  <c r="CT135" i="8" s="1"/>
  <c r="BC135" i="8" s="1"/>
  <c r="BH135" i="8" s="1"/>
  <c r="BJ135" i="8" s="1"/>
  <c r="AI136" i="8" l="1"/>
  <c r="AK136" i="8" s="1"/>
  <c r="AL136" i="8" s="1"/>
  <c r="AC135" i="8"/>
  <c r="AB135" i="8"/>
  <c r="AN136" i="8"/>
  <c r="AR136" i="8" s="1"/>
  <c r="BA136" i="8" l="1"/>
  <c r="BB136" i="8"/>
  <c r="BG136" i="8" s="1"/>
  <c r="AM136" i="8"/>
  <c r="BI136" i="8"/>
  <c r="AV136" i="8"/>
  <c r="CB150" i="8"/>
  <c r="AO136" i="8" l="1"/>
  <c r="AP136" i="8" s="1"/>
  <c r="AW137" i="8"/>
  <c r="BD136" i="8"/>
  <c r="AQ136" i="8" l="1"/>
  <c r="AU136" i="8" s="1"/>
  <c r="AX136" i="8"/>
  <c r="DB136" i="8"/>
  <c r="CA136" i="8"/>
  <c r="AS136" i="8" l="1"/>
  <c r="AJ137" i="8"/>
  <c r="AH137" i="8" s="1"/>
  <c r="BU136" i="8"/>
  <c r="CC136" i="8"/>
  <c r="BV136" i="8"/>
  <c r="BX136" i="8"/>
  <c r="DE136" i="8"/>
  <c r="DC136" i="8"/>
  <c r="DF136" i="8"/>
  <c r="DD136" i="8" s="1"/>
  <c r="DG136" i="8" l="1"/>
  <c r="BW136" i="8"/>
  <c r="CD136" i="8"/>
  <c r="CE136" i="8" s="1"/>
  <c r="CF136" i="8" s="1"/>
  <c r="CG136" i="8" s="1"/>
  <c r="CH136" i="8" s="1"/>
  <c r="CO136" i="8" s="1"/>
  <c r="CR136" i="8" l="1"/>
  <c r="CS136" i="8"/>
  <c r="CP136" i="8"/>
  <c r="CQ136" i="8" l="1"/>
  <c r="CT136" i="8" s="1"/>
  <c r="BC136" i="8" s="1"/>
  <c r="BH136" i="8" s="1"/>
  <c r="BJ136" i="8" l="1"/>
  <c r="AI137" i="8" l="1"/>
  <c r="AK137" i="8" s="1"/>
  <c r="AB136" i="8"/>
  <c r="AC136" i="8"/>
  <c r="CB151" i="8"/>
  <c r="BA137" i="8" l="1"/>
  <c r="BB137" i="8"/>
  <c r="AN137" i="8"/>
  <c r="AR137" i="8" s="1"/>
  <c r="AL137" i="8"/>
  <c r="AV137" i="8"/>
  <c r="AM137" i="8" l="1"/>
  <c r="AO137" i="8" s="1"/>
  <c r="BI137" i="8"/>
  <c r="BG137" i="8"/>
  <c r="AP137" i="8" l="1"/>
  <c r="AQ137" i="8"/>
  <c r="AU137" i="8" l="1"/>
  <c r="AS137" i="8"/>
  <c r="AX137" i="8"/>
  <c r="AW138" i="8" l="1"/>
  <c r="AJ138" i="8" s="1"/>
  <c r="AH138" i="8" s="1"/>
  <c r="BD137" i="8"/>
  <c r="DB137" i="8" l="1"/>
  <c r="CA137" i="8"/>
  <c r="BV137" i="8" l="1"/>
  <c r="BU137" i="8"/>
  <c r="CC137" i="8"/>
  <c r="BX137" i="8"/>
  <c r="CD137" i="8" s="1"/>
  <c r="CE137" i="8" s="1"/>
  <c r="CF137" i="8" s="1"/>
  <c r="DE137" i="8"/>
  <c r="DC137" i="8"/>
  <c r="DF137" i="8"/>
  <c r="CB152" i="8"/>
  <c r="CG137" i="8" l="1"/>
  <c r="CH137" i="8" s="1"/>
  <c r="CO137" i="8" s="1"/>
  <c r="CR137" i="8" s="1"/>
  <c r="DD137" i="8"/>
  <c r="DG137" i="8" s="1"/>
  <c r="BW137" i="8"/>
  <c r="CP137" i="8" l="1"/>
  <c r="CS137" i="8"/>
  <c r="CQ137" i="8" s="1"/>
  <c r="CT137" i="8" s="1"/>
  <c r="BC137" i="8" s="1"/>
  <c r="BH137" i="8" s="1"/>
  <c r="BJ137" i="8" s="1"/>
  <c r="AI138" i="8" l="1"/>
  <c r="BA138" i="8" s="1"/>
  <c r="AB137" i="8"/>
  <c r="AC137" i="8"/>
  <c r="AN138" i="8"/>
  <c r="AR138" i="8" s="1"/>
  <c r="BB138" i="8" l="1"/>
  <c r="AK138" i="8"/>
  <c r="AL138" i="8" l="1"/>
  <c r="AV138" i="8"/>
  <c r="AW139" i="8"/>
  <c r="BD138" i="8"/>
  <c r="DB138" i="8" s="1"/>
  <c r="BG138" i="8" l="1"/>
  <c r="BI138" i="8"/>
  <c r="AM138" i="8"/>
  <c r="AO138" i="8" s="1"/>
  <c r="CA138" i="8"/>
  <c r="BU138" i="8" s="1"/>
  <c r="AX138" i="8"/>
  <c r="DC138" i="8"/>
  <c r="DE138" i="8"/>
  <c r="DF138" i="8"/>
  <c r="BX138" i="8" l="1"/>
  <c r="CD138" i="8" s="1"/>
  <c r="CE138" i="8" s="1"/>
  <c r="CF138" i="8" s="1"/>
  <c r="DD138" i="8"/>
  <c r="DG138" i="8" s="1"/>
  <c r="AP138" i="8"/>
  <c r="AQ138" i="8"/>
  <c r="CC138" i="8"/>
  <c r="BV138" i="8"/>
  <c r="BW138" i="8" s="1"/>
  <c r="CB153" i="8"/>
  <c r="CG138" i="8" l="1"/>
  <c r="CH138" i="8" s="1"/>
  <c r="CO138" i="8" s="1"/>
  <c r="CR138" i="8" s="1"/>
  <c r="AS138" i="8"/>
  <c r="AU138" i="8"/>
  <c r="AJ139" i="8"/>
  <c r="AH139" i="8" s="1"/>
  <c r="CS138" i="8" l="1"/>
  <c r="CQ138" i="8" s="1"/>
  <c r="CT138" i="8" s="1"/>
  <c r="BC138" i="8" s="1"/>
  <c r="BH138" i="8" s="1"/>
  <c r="CP138" i="8"/>
  <c r="BJ138" i="8" l="1"/>
  <c r="AI139" i="8" l="1"/>
  <c r="BB139" i="8" s="1"/>
  <c r="AC138" i="8"/>
  <c r="AB138" i="8"/>
  <c r="BA139" i="8" l="1"/>
  <c r="AK139" i="8"/>
  <c r="AN139" i="8" s="1"/>
  <c r="AR139" i="8" s="1"/>
  <c r="CB154" i="8"/>
  <c r="AV139" i="8" l="1"/>
  <c r="AL139" i="8"/>
  <c r="BG139" i="8" s="1"/>
  <c r="BI139" i="8" l="1"/>
  <c r="AM139" i="8"/>
  <c r="AO139" i="8" s="1"/>
  <c r="AW140" i="8"/>
  <c r="BD139" i="8"/>
  <c r="AP139" i="8" l="1"/>
  <c r="AQ139" i="8"/>
  <c r="AS139" i="8" s="1"/>
  <c r="DB139" i="8"/>
  <c r="DE139" i="8" s="1"/>
  <c r="CA139" i="8"/>
  <c r="BV139" i="8" s="1"/>
  <c r="AX139" i="8"/>
  <c r="BX139" i="8" l="1"/>
  <c r="CD139" i="8" s="1"/>
  <c r="CE139" i="8" s="1"/>
  <c r="CF139" i="8" s="1"/>
  <c r="DF139" i="8"/>
  <c r="DD139" i="8" s="1"/>
  <c r="DG139" i="8" s="1"/>
  <c r="DC139" i="8"/>
  <c r="AU139" i="8"/>
  <c r="AJ140" i="8"/>
  <c r="AH140" i="8" s="1"/>
  <c r="CC139" i="8"/>
  <c r="BU139" i="8"/>
  <c r="BW139" i="8" s="1"/>
  <c r="CG139" i="8" l="1"/>
  <c r="CH139" i="8" s="1"/>
  <c r="CO139" i="8" s="1"/>
  <c r="CS139" i="8" s="1"/>
  <c r="CB155" i="8"/>
  <c r="CR139" i="8" l="1"/>
  <c r="CQ139" i="8" s="1"/>
  <c r="CP139" i="8"/>
  <c r="CT139" i="8" l="1"/>
  <c r="BC139" i="8" s="1"/>
  <c r="BH139" i="8" s="1"/>
  <c r="BJ139" i="8" l="1"/>
  <c r="AI140" i="8" l="1"/>
  <c r="AK140" i="8" s="1"/>
  <c r="AB139" i="8"/>
  <c r="AC139" i="8"/>
  <c r="BA140" i="8" l="1"/>
  <c r="BB140" i="8"/>
  <c r="AN140" i="8"/>
  <c r="AR140" i="8" s="1"/>
  <c r="AL140" i="8"/>
  <c r="AV140" i="8"/>
  <c r="AM140" i="8" l="1"/>
  <c r="AO140" i="8" s="1"/>
  <c r="BG140" i="8"/>
  <c r="BI140" i="8"/>
  <c r="AP140" i="8" l="1"/>
  <c r="AQ140" i="8"/>
  <c r="AX140" i="8"/>
  <c r="AS140" i="8" l="1"/>
  <c r="AU140" i="8"/>
  <c r="AW141" i="8" l="1"/>
  <c r="AJ141" i="8" s="1"/>
  <c r="AH141" i="8" s="1"/>
  <c r="BD140" i="8"/>
  <c r="DB140" i="8" l="1"/>
  <c r="CA140" i="8"/>
  <c r="BU140" i="8" l="1"/>
  <c r="BV140" i="8"/>
  <c r="CC140" i="8"/>
  <c r="BX140" i="8"/>
  <c r="CD140" i="8" s="1"/>
  <c r="CE140" i="8" s="1"/>
  <c r="CF140" i="8" s="1"/>
  <c r="DF140" i="8"/>
  <c r="DC140" i="8"/>
  <c r="DE140" i="8"/>
  <c r="CG140" i="8" l="1"/>
  <c r="CH140" i="8" s="1"/>
  <c r="CO140" i="8" s="1"/>
  <c r="CS140" i="8" s="1"/>
  <c r="DD140" i="8"/>
  <c r="DG140" i="8" s="1"/>
  <c r="BW140" i="8"/>
  <c r="CP140" i="8" l="1"/>
  <c r="CR140" i="8"/>
  <c r="CQ140" i="8"/>
  <c r="CT140" i="8" s="1"/>
  <c r="BC140" i="8" s="1"/>
  <c r="BH140" i="8" s="1"/>
  <c r="BJ140" i="8" s="1"/>
  <c r="AI141" i="8" l="1"/>
  <c r="BB141" i="8" s="1"/>
  <c r="AC140" i="8"/>
  <c r="AB140" i="8"/>
  <c r="AN141" i="8"/>
  <c r="AR141" i="8" s="1"/>
  <c r="AK141" i="8" l="1"/>
  <c r="AV141" i="8" s="1"/>
  <c r="BA141" i="8"/>
  <c r="AL141" i="8" l="1"/>
  <c r="BI141" i="8" s="1"/>
  <c r="AX141" i="8"/>
  <c r="BG141" i="8" l="1"/>
  <c r="AM141" i="8"/>
  <c r="AO141" i="8" s="1"/>
  <c r="AP141" i="8" s="1"/>
  <c r="AQ141" i="8" l="1"/>
  <c r="AS141" i="8" s="1"/>
  <c r="BD141" i="8"/>
  <c r="DB141" i="8" s="1"/>
  <c r="AW142" i="8"/>
  <c r="AJ142" i="8" l="1"/>
  <c r="AH142" i="8" s="1"/>
  <c r="AU141" i="8"/>
  <c r="CA141" i="8"/>
  <c r="CC141" i="8" s="1"/>
  <c r="DF141" i="8"/>
  <c r="DE141" i="8"/>
  <c r="DC141" i="8"/>
  <c r="BX141" i="8" l="1"/>
  <c r="CD141" i="8" s="1"/>
  <c r="CE141" i="8" s="1"/>
  <c r="CF141" i="8" s="1"/>
  <c r="CG141" i="8" s="1"/>
  <c r="CH141" i="8" s="1"/>
  <c r="CO141" i="8" s="1"/>
  <c r="CS141" i="8" s="1"/>
  <c r="BU141" i="8"/>
  <c r="BV141" i="8"/>
  <c r="DD141" i="8"/>
  <c r="DG141" i="8" s="1"/>
  <c r="BW141" i="8" l="1"/>
  <c r="CP141" i="8"/>
  <c r="CR141" i="8"/>
  <c r="CQ141" i="8" s="1"/>
  <c r="CT141" i="8" s="1"/>
  <c r="BC141" i="8" s="1"/>
  <c r="BH141" i="8" s="1"/>
  <c r="BJ141" i="8" l="1"/>
  <c r="AI142" i="8" l="1"/>
  <c r="AK142" i="8" s="1"/>
  <c r="AV142" i="8" s="1"/>
  <c r="AC141" i="8"/>
  <c r="AB141" i="8"/>
  <c r="BB142" i="8" l="1"/>
  <c r="BA142" i="8"/>
  <c r="AL142" i="8"/>
  <c r="AN142" i="8"/>
  <c r="AR142" i="8" s="1"/>
  <c r="AM142" i="8" l="1"/>
  <c r="AO142" i="8" s="1"/>
  <c r="BI142" i="8"/>
  <c r="BG142" i="8"/>
  <c r="AP142" i="8" l="1"/>
  <c r="AQ142" i="8"/>
  <c r="AS142" i="8" l="1"/>
  <c r="AU142" i="8"/>
  <c r="AX142" i="8"/>
  <c r="AW143" i="8" l="1"/>
  <c r="AJ143" i="8" s="1"/>
  <c r="AH143" i="8" s="1"/>
  <c r="BD142" i="8"/>
  <c r="DB142" i="8" l="1"/>
  <c r="CA142" i="8"/>
  <c r="BV142" i="8" l="1"/>
  <c r="BX142" i="8"/>
  <c r="CD142" i="8" s="1"/>
  <c r="CE142" i="8" s="1"/>
  <c r="CF142" i="8" s="1"/>
  <c r="BU142" i="8"/>
  <c r="CC142" i="8"/>
  <c r="DC142" i="8"/>
  <c r="DE142" i="8"/>
  <c r="DF142" i="8"/>
  <c r="DD142" i="8" l="1"/>
  <c r="DG142" i="8" s="1"/>
  <c r="BW142" i="8"/>
  <c r="CG142" i="8"/>
  <c r="CH142" i="8" s="1"/>
  <c r="CO142" i="8" s="1"/>
  <c r="CS142" i="8" s="1"/>
  <c r="CR142" i="8" l="1"/>
  <c r="CQ142" i="8" s="1"/>
  <c r="CT142" i="8" s="1"/>
  <c r="BC142" i="8" s="1"/>
  <c r="BH142" i="8" s="1"/>
  <c r="BJ142" i="8" s="1"/>
  <c r="CP142" i="8"/>
  <c r="AI143" i="8" l="1"/>
  <c r="AK143" i="8" s="1"/>
  <c r="AV143" i="8" s="1"/>
  <c r="AC142" i="8"/>
  <c r="AB142" i="8"/>
  <c r="AN143" i="8"/>
  <c r="AR143" i="8" s="1"/>
  <c r="AL143" i="8" l="1"/>
  <c r="AM143" i="8" s="1"/>
  <c r="BB143" i="8"/>
  <c r="BA143" i="8"/>
  <c r="BI143" i="8" l="1"/>
  <c r="BG143" i="8"/>
  <c r="AO143" i="8"/>
  <c r="AP143" i="8" s="1"/>
  <c r="AQ143" i="8" l="1"/>
  <c r="AU143" i="8" s="1"/>
  <c r="AX143" i="8"/>
  <c r="AS143" i="8" l="1"/>
  <c r="AW144" i="8"/>
  <c r="AJ144" i="8" s="1"/>
  <c r="AH144" i="8" s="1"/>
  <c r="BD143" i="8"/>
  <c r="CA143" i="8" l="1"/>
  <c r="DB143" i="8"/>
  <c r="DC143" i="8" l="1"/>
  <c r="DE143" i="8"/>
  <c r="DF143" i="8"/>
  <c r="CC143" i="8"/>
  <c r="BV143" i="8"/>
  <c r="BU143" i="8"/>
  <c r="BX143" i="8"/>
  <c r="CD143" i="8" s="1"/>
  <c r="CE143" i="8" s="1"/>
  <c r="CF143" i="8" s="1"/>
  <c r="CG143" i="8" s="1"/>
  <c r="CH143" i="8" s="1"/>
  <c r="CO143" i="8" s="1"/>
  <c r="DD143" i="8" l="1"/>
  <c r="DG143" i="8" s="1"/>
  <c r="BW143" i="8"/>
  <c r="CR143" i="8"/>
  <c r="CS143" i="8"/>
  <c r="CP143" i="8"/>
  <c r="CQ143" i="8" l="1"/>
  <c r="CT143" i="8" s="1"/>
  <c r="BC143" i="8" s="1"/>
  <c r="BH143" i="8" s="1"/>
  <c r="BJ143" i="8" s="1"/>
  <c r="AI144" i="8" l="1"/>
  <c r="BB144" i="8" s="1"/>
  <c r="AB143" i="8"/>
  <c r="AC143" i="8"/>
  <c r="AK144" i="8" l="1"/>
  <c r="AN144" i="8" s="1"/>
  <c r="AR144" i="8" s="1"/>
  <c r="BA144" i="8"/>
  <c r="AV144" i="8" l="1"/>
  <c r="AL144" i="8"/>
  <c r="BG144" i="8" s="1"/>
  <c r="AX144" i="8"/>
  <c r="AM144" i="8" l="1"/>
  <c r="AO144" i="8" s="1"/>
  <c r="AP144" i="8" s="1"/>
  <c r="BI144" i="8"/>
  <c r="AQ144" i="8" l="1"/>
  <c r="AU144" i="8" s="1"/>
  <c r="AW145" i="8"/>
  <c r="BD144" i="8"/>
  <c r="AJ145" i="8" l="1"/>
  <c r="AH145" i="8" s="1"/>
  <c r="AS144" i="8"/>
  <c r="DB144" i="8"/>
  <c r="CA144" i="8"/>
  <c r="CC144" i="8" l="1"/>
  <c r="BU144" i="8"/>
  <c r="BV144" i="8"/>
  <c r="BX144" i="8"/>
  <c r="CD144" i="8" s="1"/>
  <c r="CE144" i="8" s="1"/>
  <c r="CF144" i="8" s="1"/>
  <c r="DE144" i="8"/>
  <c r="DF144" i="8"/>
  <c r="DC144" i="8"/>
  <c r="CG144" i="8" l="1"/>
  <c r="CH144" i="8" s="1"/>
  <c r="CO144" i="8" s="1"/>
  <c r="CS144" i="8" s="1"/>
  <c r="DD144" i="8"/>
  <c r="DG144" i="8" s="1"/>
  <c r="BW144" i="8"/>
  <c r="CR144" i="8" l="1"/>
  <c r="CQ144" i="8" s="1"/>
  <c r="CT144" i="8" s="1"/>
  <c r="BC144" i="8" s="1"/>
  <c r="BH144" i="8" s="1"/>
  <c r="BJ144" i="8" s="1"/>
  <c r="CP144" i="8"/>
  <c r="AI145" i="8" l="1"/>
  <c r="BA145" i="8" s="1"/>
  <c r="AB144" i="8"/>
  <c r="AC144" i="8"/>
  <c r="BB145" i="8" l="1"/>
  <c r="AK145" i="8"/>
  <c r="AL145" i="8" s="1"/>
  <c r="AN145" i="8"/>
  <c r="AR145" i="8" s="1"/>
  <c r="AV145" i="8" l="1"/>
  <c r="AM145" i="8"/>
  <c r="AO145" i="8" s="1"/>
  <c r="BI145" i="8"/>
  <c r="BG145" i="8"/>
  <c r="AP145" i="8" l="1"/>
  <c r="AQ145" i="8"/>
  <c r="AU145" i="8" l="1"/>
  <c r="AS145" i="8"/>
  <c r="AX145" i="8"/>
  <c r="AW146" i="8" l="1"/>
  <c r="AJ146" i="8" s="1"/>
  <c r="AH146" i="8" s="1"/>
  <c r="BD145" i="8"/>
  <c r="DB145" i="8" l="1"/>
  <c r="CA145" i="8"/>
  <c r="CC145" i="8" l="1"/>
  <c r="BU145" i="8"/>
  <c r="BV145" i="8"/>
  <c r="BX145" i="8"/>
  <c r="CD145" i="8" s="1"/>
  <c r="CE145" i="8" s="1"/>
  <c r="CF145" i="8" s="1"/>
  <c r="CG145" i="8" s="1"/>
  <c r="CH145" i="8" s="1"/>
  <c r="CO145" i="8" s="1"/>
  <c r="DC145" i="8"/>
  <c r="DE145" i="8"/>
  <c r="DF145" i="8"/>
  <c r="DD145" i="8" l="1"/>
  <c r="DG145" i="8" s="1"/>
  <c r="CR145" i="8"/>
  <c r="CP145" i="8"/>
  <c r="CS145" i="8"/>
  <c r="BW145" i="8"/>
  <c r="CQ145" i="8" l="1"/>
  <c r="CT145" i="8" s="1"/>
  <c r="BC145" i="8" s="1"/>
  <c r="BH145" i="8" s="1"/>
  <c r="BJ145" i="8" s="1"/>
  <c r="AI146" i="8" l="1"/>
  <c r="BB146" i="8" s="1"/>
  <c r="AB145" i="8"/>
  <c r="AC145" i="8"/>
  <c r="AN146" i="8"/>
  <c r="AR146" i="8" s="1"/>
  <c r="AK146" i="8" l="1"/>
  <c r="AL146" i="8" s="1"/>
  <c r="BA146" i="8"/>
  <c r="AM146" i="8" l="1"/>
  <c r="AO146" i="8" s="1"/>
  <c r="BG146" i="8"/>
  <c r="BI146" i="8"/>
  <c r="AV146" i="8"/>
  <c r="AX146" i="8"/>
  <c r="AQ146" i="8" l="1"/>
  <c r="AS146" i="8" s="1"/>
  <c r="AP146" i="8"/>
  <c r="AU146" i="8" l="1"/>
  <c r="AW147" i="8"/>
  <c r="AJ147" i="8" s="1"/>
  <c r="AH147" i="8" s="1"/>
  <c r="BD146" i="8"/>
  <c r="DB146" i="8" l="1"/>
  <c r="CA146" i="8"/>
  <c r="CC146" i="8" l="1"/>
  <c r="BV146" i="8"/>
  <c r="BU146" i="8"/>
  <c r="BX146" i="8"/>
  <c r="CD146" i="8" s="1"/>
  <c r="CE146" i="8" s="1"/>
  <c r="CF146" i="8" s="1"/>
  <c r="CG146" i="8" s="1"/>
  <c r="CH146" i="8" s="1"/>
  <c r="CO146" i="8" s="1"/>
  <c r="CP146" i="8" s="1"/>
  <c r="DC146" i="8"/>
  <c r="DE146" i="8"/>
  <c r="DF146" i="8"/>
  <c r="DD146" i="8" l="1"/>
  <c r="DG146" i="8" s="1"/>
  <c r="BW146" i="8"/>
  <c r="CR146" i="8"/>
  <c r="CS146" i="8"/>
  <c r="CQ146" i="8" l="1"/>
  <c r="CT146" i="8" s="1"/>
  <c r="BC146" i="8" s="1"/>
  <c r="BH146" i="8" s="1"/>
  <c r="BJ146" i="8" l="1"/>
  <c r="AI147" i="8" l="1"/>
  <c r="BA147" i="8" s="1"/>
  <c r="AB146" i="8"/>
  <c r="AC146" i="8"/>
  <c r="AK147" i="8" l="1"/>
  <c r="AL147" i="8" s="1"/>
  <c r="BB147" i="8"/>
  <c r="AN147" i="8"/>
  <c r="AR147" i="8" s="1"/>
  <c r="BI147" i="8" l="1"/>
  <c r="BG147" i="8"/>
  <c r="AM147" i="8"/>
  <c r="AV147" i="8"/>
  <c r="AO147" i="8" l="1"/>
  <c r="AP147" i="8" s="1"/>
  <c r="AQ147" i="8" l="1"/>
  <c r="AU147" i="8" s="1"/>
  <c r="BD147" i="8"/>
  <c r="DB147" i="8" s="1"/>
  <c r="DF147" i="8" s="1"/>
  <c r="AW148" i="8"/>
  <c r="AX147" i="8"/>
  <c r="AJ148" i="8" l="1"/>
  <c r="AH148" i="8" s="1"/>
  <c r="AS147" i="8"/>
  <c r="CA147" i="8"/>
  <c r="CC147" i="8" s="1"/>
  <c r="DE147" i="8"/>
  <c r="DC147" i="8"/>
  <c r="DD147" i="8" l="1"/>
  <c r="DG147" i="8" s="1"/>
  <c r="BV147" i="8"/>
  <c r="BU147" i="8"/>
  <c r="BX147" i="8"/>
  <c r="CD147" i="8" s="1"/>
  <c r="CE147" i="8" s="1"/>
  <c r="CF147" i="8" s="1"/>
  <c r="CG147" i="8" s="1"/>
  <c r="CH147" i="8" s="1"/>
  <c r="CO147" i="8" s="1"/>
  <c r="CS147" i="8" s="1"/>
  <c r="BW147" i="8" l="1"/>
  <c r="CR147" i="8"/>
  <c r="CQ147" i="8" s="1"/>
  <c r="CT147" i="8" s="1"/>
  <c r="BC147" i="8" s="1"/>
  <c r="BH147" i="8" s="1"/>
  <c r="CP147" i="8"/>
  <c r="BJ147" i="8" l="1"/>
  <c r="AI148" i="8" l="1"/>
  <c r="AK148" i="8" s="1"/>
  <c r="AN148" i="8" s="1"/>
  <c r="AR148" i="8" s="1"/>
  <c r="AB147" i="8"/>
  <c r="AC147" i="8"/>
  <c r="BB148" i="8" l="1"/>
  <c r="BA148" i="8"/>
  <c r="AL148" i="8"/>
  <c r="AV148" i="8"/>
  <c r="BI148" i="8" l="1"/>
  <c r="BG148" i="8"/>
  <c r="AM148" i="8"/>
  <c r="BD148" i="8"/>
  <c r="AO148" i="8" l="1"/>
  <c r="AQ148" i="8" s="1"/>
  <c r="DB148" i="8"/>
  <c r="DC148" i="8" s="1"/>
  <c r="CA148" i="8"/>
  <c r="BU148" i="8" s="1"/>
  <c r="AX148" i="8"/>
  <c r="BX148" i="8"/>
  <c r="DF148" i="8" l="1"/>
  <c r="DE148" i="8"/>
  <c r="AP148" i="8"/>
  <c r="AS148" i="8"/>
  <c r="AW149" i="8" s="1"/>
  <c r="AJ149" i="8" s="1"/>
  <c r="AH149" i="8" s="1"/>
  <c r="AU148" i="8"/>
  <c r="CC148" i="8"/>
  <c r="BV148" i="8"/>
  <c r="BW148" i="8" s="1"/>
  <c r="CD148" i="8"/>
  <c r="CE148" i="8" s="1"/>
  <c r="CF148" i="8" s="1"/>
  <c r="DD148" i="8" l="1"/>
  <c r="DG148" i="8" s="1"/>
  <c r="CG148" i="8"/>
  <c r="CH148" i="8" s="1"/>
  <c r="CO148" i="8" s="1"/>
  <c r="CS148" i="8" s="1"/>
  <c r="CR148" i="8" l="1"/>
  <c r="CQ148" i="8" s="1"/>
  <c r="CP148" i="8"/>
  <c r="CT148" i="8" l="1"/>
  <c r="BC148" i="8" s="1"/>
  <c r="BH148" i="8" s="1"/>
  <c r="BJ148" i="8" l="1"/>
  <c r="AI149" i="8" l="1"/>
  <c r="AK149" i="8" s="1"/>
  <c r="AB148" i="8"/>
  <c r="AC148" i="8"/>
  <c r="AN149" i="8"/>
  <c r="AR149" i="8" s="1"/>
  <c r="BB149" i="8" l="1"/>
  <c r="BA149" i="8"/>
  <c r="AV149" i="8"/>
  <c r="AL149" i="8"/>
  <c r="BG149" i="8" s="1"/>
  <c r="BI149" i="8" l="1"/>
  <c r="AM149" i="8"/>
  <c r="BD149" i="8"/>
  <c r="AO149" i="8" l="1"/>
  <c r="AQ149" i="8" s="1"/>
  <c r="DB149" i="8"/>
  <c r="DC149" i="8" s="1"/>
  <c r="CA149" i="8"/>
  <c r="BV149" i="8" s="1"/>
  <c r="AX149" i="8"/>
  <c r="BX149" i="8" l="1"/>
  <c r="CD149" i="8" s="1"/>
  <c r="CE149" i="8" s="1"/>
  <c r="CF149" i="8" s="1"/>
  <c r="DF149" i="8"/>
  <c r="DE149" i="8"/>
  <c r="AP149" i="8"/>
  <c r="AS149" i="8"/>
  <c r="AW150" i="8" s="1"/>
  <c r="AJ150" i="8" s="1"/>
  <c r="AH150" i="8" s="1"/>
  <c r="AU149" i="8"/>
  <c r="BU149" i="8"/>
  <c r="BW149" i="8" s="1"/>
  <c r="CC149" i="8"/>
  <c r="DD149" i="8" l="1"/>
  <c r="DG149" i="8" s="1"/>
  <c r="CG149" i="8"/>
  <c r="CH149" i="8" s="1"/>
  <c r="CO149" i="8" s="1"/>
  <c r="CR149" i="8" s="1"/>
  <c r="CS149" i="8" l="1"/>
  <c r="CQ149" i="8" s="1"/>
  <c r="CT149" i="8" s="1"/>
  <c r="BC149" i="8" s="1"/>
  <c r="BH149" i="8" s="1"/>
  <c r="CP149" i="8"/>
  <c r="BJ149" i="8" l="1"/>
  <c r="AI150" i="8" l="1"/>
  <c r="BB150" i="8" s="1"/>
  <c r="AC149" i="8"/>
  <c r="AB149" i="8"/>
  <c r="AK150" i="8" l="1"/>
  <c r="AN150" i="8" s="1"/>
  <c r="AR150" i="8" s="1"/>
  <c r="BA150" i="8"/>
  <c r="AL150" i="8" l="1"/>
  <c r="AV150" i="8"/>
  <c r="AM150" i="8" l="1"/>
  <c r="AO150" i="8" s="1"/>
  <c r="AQ150" i="8" s="1"/>
  <c r="AU150" i="8" s="1"/>
  <c r="BG150" i="8"/>
  <c r="BI150" i="8"/>
  <c r="BD150" i="8"/>
  <c r="AP150" i="8" l="1"/>
  <c r="AS150" i="8"/>
  <c r="AW151" i="8" s="1"/>
  <c r="AJ151" i="8" s="1"/>
  <c r="AH151" i="8" s="1"/>
  <c r="DB150" i="8"/>
  <c r="DC150" i="8" s="1"/>
  <c r="CA150" i="8"/>
  <c r="CC150" i="8" s="1"/>
  <c r="AX150" i="8"/>
  <c r="BX150" i="8"/>
  <c r="DE150" i="8" l="1"/>
  <c r="DF150" i="8"/>
  <c r="BV150" i="8"/>
  <c r="BU150" i="8"/>
  <c r="CD150" i="8"/>
  <c r="CE150" i="8" s="1"/>
  <c r="CF150" i="8" s="1"/>
  <c r="CG150" i="8" s="1"/>
  <c r="CH150" i="8" s="1"/>
  <c r="CO150" i="8" s="1"/>
  <c r="DD150" i="8" l="1"/>
  <c r="DG150" i="8" s="1"/>
  <c r="BW150" i="8"/>
  <c r="CS150" i="8"/>
  <c r="CR150" i="8"/>
  <c r="CP150" i="8"/>
  <c r="CQ150" i="8" l="1"/>
  <c r="CT150" i="8" l="1"/>
  <c r="BC150" i="8" s="1"/>
  <c r="BH150" i="8" s="1"/>
  <c r="BJ150" i="8" l="1"/>
  <c r="AI151" i="8" l="1"/>
  <c r="BA151" i="8" s="1"/>
  <c r="AC150" i="8"/>
  <c r="AB150" i="8"/>
  <c r="AK151" i="8" l="1"/>
  <c r="AL151" i="8" s="1"/>
  <c r="BB151" i="8"/>
  <c r="AN151" i="8"/>
  <c r="AR151" i="8" s="1"/>
  <c r="AV151" i="8" l="1"/>
  <c r="AM151" i="8"/>
  <c r="AO151" i="8" s="1"/>
  <c r="BG151" i="8"/>
  <c r="BI151" i="8"/>
  <c r="AX151" i="8"/>
  <c r="AP151" i="8" l="1"/>
  <c r="AQ151" i="8"/>
  <c r="AS151" i="8" l="1"/>
  <c r="AU151" i="8"/>
  <c r="AW152" i="8" l="1"/>
  <c r="AJ152" i="8" s="1"/>
  <c r="AH152" i="8" s="1"/>
  <c r="BD151" i="8"/>
  <c r="DB151" i="8" l="1"/>
  <c r="CA151" i="8"/>
  <c r="BV151" i="8" l="1"/>
  <c r="BU151" i="8"/>
  <c r="CC151" i="8"/>
  <c r="BX151" i="8"/>
  <c r="CD151" i="8" s="1"/>
  <c r="CE151" i="8" s="1"/>
  <c r="CF151" i="8" s="1"/>
  <c r="CG151" i="8" s="1"/>
  <c r="CH151" i="8" s="1"/>
  <c r="CO151" i="8" s="1"/>
  <c r="DC151" i="8"/>
  <c r="DE151" i="8"/>
  <c r="DF151" i="8"/>
  <c r="DD151" i="8" s="1"/>
  <c r="DG151" i="8" s="1"/>
  <c r="BW151" i="8" l="1"/>
  <c r="CS151" i="8"/>
  <c r="CP151" i="8"/>
  <c r="CR151" i="8"/>
  <c r="CQ151" i="8" l="1"/>
  <c r="CT151" i="8" s="1"/>
  <c r="BC151" i="8" s="1"/>
  <c r="BH151" i="8" s="1"/>
  <c r="BJ151" i="8" s="1"/>
  <c r="AI152" i="8" l="1"/>
  <c r="AK152" i="8" s="1"/>
  <c r="AL152" i="8" s="1"/>
  <c r="AC151" i="8"/>
  <c r="AB151" i="8"/>
  <c r="AN152" i="8"/>
  <c r="AR152" i="8" s="1"/>
  <c r="BB152" i="8" l="1"/>
  <c r="BA152" i="8"/>
  <c r="AV152" i="8"/>
  <c r="AM152" i="8"/>
  <c r="AO152" i="8" s="1"/>
  <c r="BI152" i="8"/>
  <c r="BG152" i="8"/>
  <c r="AP152" i="8" l="1"/>
  <c r="AQ152" i="8"/>
  <c r="AS152" i="8" l="1"/>
  <c r="AU152" i="8"/>
  <c r="AX152" i="8"/>
  <c r="AW153" i="8" l="1"/>
  <c r="AJ153" i="8" s="1"/>
  <c r="AH153" i="8" s="1"/>
  <c r="BD152" i="8"/>
  <c r="DB152" i="8" l="1"/>
  <c r="CA152" i="8"/>
  <c r="CC152" i="8" l="1"/>
  <c r="BU152" i="8"/>
  <c r="BV152" i="8"/>
  <c r="BX152" i="8"/>
  <c r="CD152" i="8" s="1"/>
  <c r="CE152" i="8" s="1"/>
  <c r="CF152" i="8" s="1"/>
  <c r="CG152" i="8" s="1"/>
  <c r="CH152" i="8" s="1"/>
  <c r="CO152" i="8" s="1"/>
  <c r="DC152" i="8"/>
  <c r="DE152" i="8"/>
  <c r="DF152" i="8"/>
  <c r="DD152" i="8" l="1"/>
  <c r="DG152" i="8" s="1"/>
  <c r="CS152" i="8"/>
  <c r="CP152" i="8"/>
  <c r="CR152" i="8"/>
  <c r="BW152" i="8"/>
  <c r="CQ152" i="8" l="1"/>
  <c r="CT152" i="8" s="1"/>
  <c r="BC152" i="8" s="1"/>
  <c r="BH152" i="8" s="1"/>
  <c r="BJ152" i="8" s="1"/>
  <c r="AI153" i="8" l="1"/>
  <c r="BB153" i="8" s="1"/>
  <c r="AC152" i="8"/>
  <c r="AB152" i="8"/>
  <c r="AK153" i="8" l="1"/>
  <c r="AN153" i="8" s="1"/>
  <c r="AR153" i="8" s="1"/>
  <c r="BA153" i="8"/>
  <c r="AL153" i="8" l="1"/>
  <c r="AM153" i="8" s="1"/>
  <c r="AO153" i="8" s="1"/>
  <c r="AV153" i="8"/>
  <c r="BG153" i="8" l="1"/>
  <c r="BI153" i="8"/>
  <c r="AP153" i="8"/>
  <c r="AQ153" i="8"/>
  <c r="AU153" i="8" s="1"/>
  <c r="AW154" i="8"/>
  <c r="BD153" i="8"/>
  <c r="AJ154" i="8" l="1"/>
  <c r="AH154" i="8" s="1"/>
  <c r="AS153" i="8"/>
  <c r="DB153" i="8"/>
  <c r="DE153" i="8" s="1"/>
  <c r="CA153" i="8"/>
  <c r="CC153" i="8" s="1"/>
  <c r="AX153" i="8"/>
  <c r="BX153" i="8"/>
  <c r="BU153" i="8" l="1"/>
  <c r="BV153" i="8"/>
  <c r="DC153" i="8"/>
  <c r="DF153" i="8"/>
  <c r="DD153" i="8" s="1"/>
  <c r="DG153" i="8" s="1"/>
  <c r="CD153" i="8"/>
  <c r="CE153" i="8" s="1"/>
  <c r="CF153" i="8" s="1"/>
  <c r="CG153" i="8" s="1"/>
  <c r="CH153" i="8" s="1"/>
  <c r="CO153" i="8" s="1"/>
  <c r="BW153" i="8" l="1"/>
  <c r="CS153" i="8"/>
  <c r="CP153" i="8"/>
  <c r="CR153" i="8"/>
  <c r="CQ153" i="8" l="1"/>
  <c r="CT153" i="8" l="1"/>
  <c r="BC153" i="8" s="1"/>
  <c r="BH153" i="8" s="1"/>
  <c r="BJ153" i="8" l="1"/>
  <c r="AI154" i="8" l="1"/>
  <c r="AK154" i="8" s="1"/>
  <c r="AC153" i="8"/>
  <c r="AB153" i="8"/>
  <c r="BA154" i="8" l="1"/>
  <c r="BB154" i="8"/>
  <c r="AL154" i="8"/>
  <c r="AN154" i="8"/>
  <c r="AR154" i="8" s="1"/>
  <c r="AV154" i="8"/>
  <c r="AM154" i="8" l="1"/>
  <c r="AO154" i="8" s="1"/>
  <c r="BI154" i="8"/>
  <c r="BG154" i="8"/>
  <c r="AP154" i="8" l="1"/>
  <c r="AQ154" i="8"/>
  <c r="AX154" i="8"/>
  <c r="AU154" i="8" l="1"/>
  <c r="AS154" i="8"/>
  <c r="AW155" i="8" l="1"/>
  <c r="AJ155" i="8" s="1"/>
  <c r="AH155" i="8" s="1"/>
  <c r="BD154" i="8"/>
  <c r="CA154" i="8" l="1"/>
  <c r="DB154" i="8"/>
  <c r="DC154" i="8" l="1"/>
  <c r="DE154" i="8"/>
  <c r="DF154" i="8"/>
  <c r="BU154" i="8"/>
  <c r="BX154" i="8"/>
  <c r="CD154" i="8" s="1"/>
  <c r="CE154" i="8" s="1"/>
  <c r="CF154" i="8" s="1"/>
  <c r="CC154" i="8"/>
  <c r="BV154" i="8"/>
  <c r="DD154" i="8" l="1"/>
  <c r="DG154" i="8" s="1"/>
  <c r="CG154" i="8"/>
  <c r="CH154" i="8" s="1"/>
  <c r="CO154" i="8" s="1"/>
  <c r="CR154" i="8" s="1"/>
  <c r="BW154" i="8"/>
  <c r="CS154" i="8" l="1"/>
  <c r="CQ154" i="8" s="1"/>
  <c r="CT154" i="8" s="1"/>
  <c r="BC154" i="8" s="1"/>
  <c r="BH154" i="8" s="1"/>
  <c r="BJ154" i="8" s="1"/>
  <c r="CP154" i="8"/>
  <c r="AI155" i="8" l="1"/>
  <c r="AK155" i="8" s="1"/>
  <c r="AN155" i="8" s="1"/>
  <c r="AR155" i="8" s="1"/>
  <c r="AB154" i="8"/>
  <c r="AC154" i="8"/>
  <c r="BA155" i="8" l="1"/>
  <c r="BB155" i="8"/>
  <c r="AL155" i="8"/>
  <c r="AV155" i="8"/>
  <c r="AX155" i="8"/>
  <c r="BG155" i="8" l="1"/>
  <c r="AM155" i="8"/>
  <c r="AO155" i="8" s="1"/>
  <c r="BI155" i="8"/>
  <c r="AP155" i="8" l="1"/>
  <c r="AQ155" i="8"/>
  <c r="AS155" i="8" l="1"/>
  <c r="AU155" i="8"/>
  <c r="AW156" i="8" l="1"/>
  <c r="AJ156" i="8" s="1"/>
  <c r="AH156" i="8" s="1"/>
  <c r="BD155" i="8"/>
  <c r="DB155" i="8" l="1"/>
  <c r="CA155" i="8"/>
  <c r="BX155" i="8" l="1"/>
  <c r="CD155" i="8" s="1"/>
  <c r="CE155" i="8" s="1"/>
  <c r="CF155" i="8" s="1"/>
  <c r="CC155" i="8"/>
  <c r="BV155" i="8"/>
  <c r="BU155" i="8"/>
  <c r="DF155" i="8"/>
  <c r="DC155" i="8"/>
  <c r="DE155" i="8"/>
  <c r="CG155" i="8" l="1"/>
  <c r="CH155" i="8" s="1"/>
  <c r="CO155" i="8" s="1"/>
  <c r="CS155" i="8" s="1"/>
  <c r="DD155" i="8"/>
  <c r="DG155" i="8" s="1"/>
  <c r="BW155" i="8"/>
  <c r="CR155" i="8" l="1"/>
  <c r="CQ155" i="8" s="1"/>
  <c r="CT155" i="8" s="1"/>
  <c r="BC155" i="8" s="1"/>
  <c r="BH155" i="8" s="1"/>
  <c r="BJ155" i="8" s="1"/>
  <c r="CP155" i="8"/>
  <c r="AI156" i="8" l="1"/>
  <c r="BA156" i="8" s="1"/>
  <c r="AB155" i="8"/>
  <c r="AC155" i="8"/>
  <c r="AN156" i="8"/>
  <c r="AR156" i="8" s="1"/>
  <c r="AX156" i="8"/>
  <c r="AK156" i="8" l="1"/>
  <c r="AV156" i="8" s="1"/>
  <c r="BB156" i="8"/>
  <c r="AL156" i="8" l="1"/>
  <c r="BI156" i="8" s="1"/>
  <c r="AW157" i="8"/>
  <c r="BD156" i="8"/>
  <c r="BG156" i="8" l="1"/>
  <c r="AM156" i="8"/>
  <c r="AO156" i="8" s="1"/>
  <c r="AP156" i="8" s="1"/>
  <c r="CA156" i="8"/>
  <c r="DB156" i="8"/>
  <c r="AQ156" i="8" l="1"/>
  <c r="AJ157" i="8" s="1"/>
  <c r="AH157" i="8" s="1"/>
  <c r="DE156" i="8"/>
  <c r="DC156" i="8"/>
  <c r="DF156" i="8"/>
  <c r="BX156" i="8"/>
  <c r="CD156" i="8" s="1"/>
  <c r="CE156" i="8" s="1"/>
  <c r="CF156" i="8" s="1"/>
  <c r="BV156" i="8"/>
  <c r="CC156" i="8"/>
  <c r="BU156" i="8"/>
  <c r="DD156" i="8" l="1"/>
  <c r="DG156" i="8" s="1"/>
  <c r="AU156" i="8"/>
  <c r="AS156" i="8"/>
  <c r="BW156" i="8"/>
  <c r="CG156" i="8"/>
  <c r="CH156" i="8" s="1"/>
  <c r="CO156" i="8" s="1"/>
  <c r="CP156" i="8" s="1"/>
  <c r="CS156" i="8" l="1"/>
  <c r="CR156" i="8"/>
  <c r="AN157" i="8"/>
  <c r="AR157" i="8" s="1"/>
  <c r="CQ156" i="8" l="1"/>
  <c r="CT156" i="8" s="1"/>
  <c r="BC156" i="8" s="1"/>
  <c r="BH156" i="8" s="1"/>
  <c r="BJ156" i="8" s="1"/>
  <c r="AI157" i="8" l="1"/>
  <c r="BA157" i="8" s="1"/>
  <c r="AC156" i="8"/>
  <c r="AB156" i="8"/>
  <c r="BB157" i="8" l="1"/>
  <c r="AK157" i="8"/>
  <c r="AL157" i="8" s="1"/>
  <c r="AW158" i="8"/>
  <c r="BD157" i="8"/>
  <c r="BG157" i="8" l="1"/>
  <c r="AM157" i="8"/>
  <c r="BI157" i="8"/>
  <c r="AV157" i="8"/>
  <c r="DB157" i="8"/>
  <c r="CA157" i="8"/>
  <c r="AX157" i="8"/>
  <c r="AO157" i="8" l="1"/>
  <c r="AQ157" i="8" s="1"/>
  <c r="BV157" i="8"/>
  <c r="CC157" i="8"/>
  <c r="BU157" i="8"/>
  <c r="BX157" i="8"/>
  <c r="DC157" i="8"/>
  <c r="DF157" i="8"/>
  <c r="DE157" i="8"/>
  <c r="AP157" i="8" l="1"/>
  <c r="AU157" i="8"/>
  <c r="AS157" i="8"/>
  <c r="AJ158" i="8"/>
  <c r="AH158" i="8" s="1"/>
  <c r="BW157" i="8"/>
  <c r="DD157" i="8"/>
  <c r="DG157" i="8" s="1"/>
  <c r="CD157" i="8"/>
  <c r="CE157" i="8" s="1"/>
  <c r="CF157" i="8" s="1"/>
  <c r="CG157" i="8" s="1"/>
  <c r="CH157" i="8" s="1"/>
  <c r="CO157" i="8" s="1"/>
  <c r="CR157" i="8" l="1"/>
  <c r="CP157" i="8"/>
  <c r="CS157" i="8"/>
  <c r="CQ157" i="8" l="1"/>
  <c r="CT157" i="8" s="1"/>
  <c r="BC157" i="8" s="1"/>
  <c r="BH157" i="8" s="1"/>
  <c r="BJ157" i="8" s="1"/>
  <c r="AI158" i="8" l="1"/>
  <c r="BA158" i="8" s="1"/>
  <c r="AB157" i="8"/>
  <c r="AC157" i="8"/>
  <c r="AN158" i="8"/>
  <c r="AR158" i="8" s="1"/>
  <c r="AK158" i="8" l="1"/>
  <c r="AL158" i="8" s="1"/>
  <c r="BI158" i="8" s="1"/>
  <c r="BB158" i="8"/>
  <c r="BG158" i="8" l="1"/>
  <c r="AM158" i="8"/>
  <c r="AO158" i="8" s="1"/>
  <c r="AQ158" i="8" s="1"/>
  <c r="AU158" i="8" s="1"/>
  <c r="AV158" i="8"/>
  <c r="BD158" i="8"/>
  <c r="AP158" i="8" l="1"/>
  <c r="AS158" i="8"/>
  <c r="AW159" i="8"/>
  <c r="AJ159" i="8" s="1"/>
  <c r="AH159" i="8" s="1"/>
  <c r="CA158" i="8"/>
  <c r="DB158" i="8"/>
  <c r="AX158" i="8"/>
  <c r="DC158" i="8" l="1"/>
  <c r="DF158" i="8"/>
  <c r="DE158" i="8"/>
  <c r="BU158" i="8"/>
  <c r="CC158" i="8"/>
  <c r="BV158" i="8"/>
  <c r="BX158" i="8"/>
  <c r="DD158" i="8" l="1"/>
  <c r="DG158" i="8" s="1"/>
  <c r="BW158" i="8"/>
  <c r="CD158" i="8"/>
  <c r="CE158" i="8" s="1"/>
  <c r="CF158" i="8" s="1"/>
  <c r="CG158" i="8" s="1"/>
  <c r="CH158" i="8" s="1"/>
  <c r="CO158" i="8" s="1"/>
  <c r="CR158" i="8" l="1"/>
  <c r="CS158" i="8"/>
  <c r="CP158" i="8"/>
  <c r="CQ158" i="8" l="1"/>
  <c r="CT158" i="8" s="1"/>
  <c r="BC158" i="8" s="1"/>
  <c r="BH158" i="8" s="1"/>
  <c r="BJ158" i="8" s="1"/>
  <c r="AI159" i="8" l="1"/>
  <c r="AK159" i="8" s="1"/>
  <c r="AV159" i="8" s="1"/>
  <c r="AB158" i="8"/>
  <c r="AC158" i="8"/>
  <c r="AN159" i="8"/>
  <c r="AR159" i="8" s="1"/>
  <c r="BB159" i="8" l="1"/>
  <c r="BA159" i="8"/>
  <c r="AL159" i="8"/>
  <c r="BI159" i="8" l="1"/>
  <c r="BG159" i="8"/>
  <c r="AM159" i="8"/>
  <c r="AO159" i="8" l="1"/>
  <c r="AQ159" i="8" s="1"/>
  <c r="AW160" i="8"/>
  <c r="BD159" i="8"/>
  <c r="AP159" i="8" l="1"/>
  <c r="AU159" i="8"/>
  <c r="AS159" i="8"/>
  <c r="AJ160" i="8"/>
  <c r="AH160" i="8" s="1"/>
  <c r="DB159" i="8"/>
  <c r="CA159" i="8"/>
  <c r="AX159" i="8"/>
  <c r="BV159" i="8" l="1"/>
  <c r="BU159" i="8"/>
  <c r="CC159" i="8"/>
  <c r="BX159" i="8"/>
  <c r="DC159" i="8"/>
  <c r="DE159" i="8"/>
  <c r="DF159" i="8"/>
  <c r="DD159" i="8" l="1"/>
  <c r="DG159" i="8" s="1"/>
  <c r="BW159" i="8"/>
  <c r="CD159" i="8"/>
  <c r="CE159" i="8" s="1"/>
  <c r="CF159" i="8" s="1"/>
  <c r="CG159" i="8" s="1"/>
  <c r="CH159" i="8" s="1"/>
  <c r="CO159" i="8" s="1"/>
  <c r="CS159" i="8" l="1"/>
  <c r="CR159" i="8"/>
  <c r="CP159" i="8"/>
  <c r="CQ159" i="8" l="1"/>
  <c r="CT159" i="8" s="1"/>
  <c r="BC159" i="8" s="1"/>
  <c r="BH159" i="8" s="1"/>
  <c r="BJ159" i="8" s="1"/>
  <c r="AI160" i="8" l="1"/>
  <c r="BA160" i="8" s="1"/>
  <c r="AB159" i="8"/>
  <c r="AC159" i="8"/>
  <c r="AK160" i="8" l="1"/>
  <c r="AL160" i="8" s="1"/>
  <c r="BB160" i="8"/>
  <c r="AN160" i="8"/>
  <c r="AX160" i="8"/>
  <c r="AV160" i="8" l="1"/>
  <c r="BI160" i="8"/>
  <c r="AM160" i="8"/>
  <c r="AO160" i="8" s="1"/>
  <c r="BG160" i="8"/>
  <c r="AR160" i="8"/>
  <c r="AQ160" i="8" l="1"/>
  <c r="AP160" i="8"/>
  <c r="AU160" i="8" l="1"/>
  <c r="AS160" i="8"/>
  <c r="AW161" i="8" l="1"/>
  <c r="AJ161" i="8" s="1"/>
  <c r="AH161" i="8" s="1"/>
  <c r="BD160" i="8"/>
  <c r="CA160" i="8" l="1"/>
  <c r="DB160" i="8"/>
  <c r="DC160" i="8" l="1"/>
  <c r="DE160" i="8"/>
  <c r="DF160" i="8"/>
  <c r="BV160" i="8"/>
  <c r="BX160" i="8"/>
  <c r="CD160" i="8" s="1"/>
  <c r="CE160" i="8" s="1"/>
  <c r="CF160" i="8" s="1"/>
  <c r="CG160" i="8" s="1"/>
  <c r="CH160" i="8" s="1"/>
  <c r="CO160" i="8" s="1"/>
  <c r="CC160" i="8"/>
  <c r="BU160" i="8"/>
  <c r="DD160" i="8" l="1"/>
  <c r="DG160" i="8" s="1"/>
  <c r="BW160" i="8"/>
  <c r="CP160" i="8"/>
  <c r="CS160" i="8"/>
  <c r="CR160" i="8"/>
  <c r="CQ160" i="8" l="1"/>
  <c r="CT160" i="8" s="1"/>
  <c r="BC160" i="8" s="1"/>
  <c r="BH160" i="8" s="1"/>
  <c r="BJ160" i="8" s="1"/>
  <c r="AX161" i="8"/>
  <c r="AI161" i="8" l="1"/>
  <c r="BB161" i="8" s="1"/>
  <c r="AB160" i="8"/>
  <c r="AC160" i="8"/>
  <c r="AN161" i="8"/>
  <c r="AR161" i="8" s="1"/>
  <c r="BA161" i="8" l="1"/>
  <c r="AK161" i="8"/>
  <c r="AV161" i="8" s="1"/>
  <c r="AL161" i="8" l="1"/>
  <c r="AM161" i="8" l="1"/>
  <c r="AO161" i="8" s="1"/>
  <c r="AQ161" i="8" s="1"/>
  <c r="AS161" i="8" s="1"/>
  <c r="BG161" i="8"/>
  <c r="BI161" i="8"/>
  <c r="AP161" i="8" l="1"/>
  <c r="AU161" i="8"/>
  <c r="AW162" i="8"/>
  <c r="AJ162" i="8" s="1"/>
  <c r="AH162" i="8" s="1"/>
  <c r="BD161" i="8"/>
  <c r="CA161" i="8" l="1"/>
  <c r="DB161" i="8"/>
  <c r="AX162" i="8"/>
  <c r="DF161" i="8" l="1"/>
  <c r="DE161" i="8"/>
  <c r="DC161" i="8"/>
  <c r="BU161" i="8"/>
  <c r="CC161" i="8"/>
  <c r="BX161" i="8"/>
  <c r="CD161" i="8" s="1"/>
  <c r="CE161" i="8" s="1"/>
  <c r="CF161" i="8" s="1"/>
  <c r="CG161" i="8" s="1"/>
  <c r="CH161" i="8" s="1"/>
  <c r="CO161" i="8" s="1"/>
  <c r="BV161" i="8"/>
  <c r="DD161" i="8" l="1"/>
  <c r="DG161" i="8" s="1"/>
  <c r="BW161" i="8"/>
  <c r="CS161" i="8"/>
  <c r="CR161" i="8"/>
  <c r="CP161" i="8"/>
  <c r="CQ161" i="8" l="1"/>
  <c r="CT161" i="8" s="1"/>
  <c r="BC161" i="8" s="1"/>
  <c r="BH161" i="8" s="1"/>
  <c r="BJ161" i="8" s="1"/>
  <c r="AI162" i="8" l="1"/>
  <c r="BB162" i="8" s="1"/>
  <c r="AB161" i="8"/>
  <c r="AC161" i="8"/>
  <c r="BA162" i="8" l="1"/>
  <c r="AK162" i="8"/>
  <c r="AN162" i="8" s="1"/>
  <c r="AR162" i="8" s="1"/>
  <c r="AV162" i="8" l="1"/>
  <c r="AL162" i="8"/>
  <c r="BG162" i="8" s="1"/>
  <c r="BI162" i="8" l="1"/>
  <c r="AM162" i="8"/>
  <c r="AO162" i="8" s="1"/>
  <c r="AP162" i="8" s="1"/>
  <c r="AW163" i="8"/>
  <c r="BD162" i="8"/>
  <c r="AQ162" i="8" l="1"/>
  <c r="CA162" i="8"/>
  <c r="DB162" i="8"/>
  <c r="AU162" i="8" l="1"/>
  <c r="AS162" i="8"/>
  <c r="AJ163" i="8"/>
  <c r="AH163" i="8" s="1"/>
  <c r="DC162" i="8"/>
  <c r="DE162" i="8"/>
  <c r="DF162" i="8"/>
  <c r="CC162" i="8"/>
  <c r="BX162" i="8"/>
  <c r="CD162" i="8" s="1"/>
  <c r="CE162" i="8" s="1"/>
  <c r="CF162" i="8" s="1"/>
  <c r="CG162" i="8" s="1"/>
  <c r="CH162" i="8" s="1"/>
  <c r="CO162" i="8" s="1"/>
  <c r="BV162" i="8"/>
  <c r="BU162" i="8"/>
  <c r="AX163" i="8"/>
  <c r="DD162" i="8" l="1"/>
  <c r="DG162" i="8" s="1"/>
  <c r="BW162" i="8"/>
  <c r="CR162" i="8"/>
  <c r="CS162" i="8"/>
  <c r="CP162" i="8"/>
  <c r="CQ162" i="8" l="1"/>
  <c r="CT162" i="8" s="1"/>
  <c r="BC162" i="8" s="1"/>
  <c r="BH162" i="8" s="1"/>
  <c r="BJ162" i="8" s="1"/>
  <c r="AI163" i="8" l="1"/>
  <c r="AK163" i="8" s="1"/>
  <c r="AN163" i="8" s="1"/>
  <c r="AR163" i="8" s="1"/>
  <c r="AB162" i="8"/>
  <c r="AC162" i="8"/>
  <c r="BA163" i="8" l="1"/>
  <c r="BB163" i="8"/>
  <c r="AL163" i="8"/>
  <c r="AV163" i="8"/>
  <c r="BG163" i="8" l="1"/>
  <c r="BI163" i="8"/>
  <c r="AM163" i="8"/>
  <c r="AO163" i="8" l="1"/>
  <c r="AQ163" i="8" s="1"/>
  <c r="AP163" i="8" l="1"/>
  <c r="AU163" i="8"/>
  <c r="AS163" i="8"/>
  <c r="AW164" i="8"/>
  <c r="AJ164" i="8" s="1"/>
  <c r="AH164" i="8" s="1"/>
  <c r="BD163" i="8"/>
  <c r="DB163" i="8" l="1"/>
  <c r="CA163" i="8"/>
  <c r="BU163" i="8" l="1"/>
  <c r="CC163" i="8"/>
  <c r="BV163" i="8"/>
  <c r="BX163" i="8"/>
  <c r="CD163" i="8" s="1"/>
  <c r="CE163" i="8" s="1"/>
  <c r="CF163" i="8" s="1"/>
  <c r="CG163" i="8" s="1"/>
  <c r="CH163" i="8" s="1"/>
  <c r="CO163" i="8" s="1"/>
  <c r="DE163" i="8"/>
  <c r="DC163" i="8"/>
  <c r="DF163" i="8"/>
  <c r="AX164" i="8"/>
  <c r="DD163" i="8" l="1"/>
  <c r="DG163" i="8" s="1"/>
  <c r="CR163" i="8"/>
  <c r="CS163" i="8"/>
  <c r="CP163" i="8"/>
  <c r="BW163" i="8"/>
  <c r="CQ163" i="8" l="1"/>
  <c r="CT163" i="8" s="1"/>
  <c r="BC163" i="8" s="1"/>
  <c r="BH163" i="8" s="1"/>
  <c r="BJ163" i="8" s="1"/>
  <c r="AI164" i="8" s="1"/>
  <c r="AN164" i="8"/>
  <c r="AR164" i="8" s="1"/>
  <c r="AB163" i="8" l="1"/>
  <c r="AC163" i="8"/>
  <c r="BA164" i="8"/>
  <c r="AK164" i="8"/>
  <c r="AV164" i="8" s="1"/>
  <c r="BB164" i="8"/>
  <c r="BD164" i="8"/>
  <c r="AW165" i="8"/>
  <c r="AL164" i="8" l="1"/>
  <c r="AM164" i="8" s="1"/>
  <c r="DB164" i="8"/>
  <c r="DF164" i="8" s="1"/>
  <c r="CA164" i="8"/>
  <c r="CC164" i="8" s="1"/>
  <c r="BX164" i="8"/>
  <c r="CD164" i="8" s="1"/>
  <c r="CE164" i="8" s="1"/>
  <c r="CF164" i="8" s="1"/>
  <c r="DE164" i="8" l="1"/>
  <c r="DD164" i="8" s="1"/>
  <c r="DG164" i="8" s="1"/>
  <c r="DC164" i="8"/>
  <c r="BG164" i="8"/>
  <c r="AO164" i="8"/>
  <c r="AP164" i="8" s="1"/>
  <c r="BI164" i="8"/>
  <c r="BV164" i="8"/>
  <c r="BU164" i="8"/>
  <c r="CG164" i="8"/>
  <c r="CH164" i="8" s="1"/>
  <c r="CO164" i="8" s="1"/>
  <c r="CR164" i="8" s="1"/>
  <c r="AQ164" i="8" l="1"/>
  <c r="AU164" i="8" s="1"/>
  <c r="BW164" i="8"/>
  <c r="CS164" i="8"/>
  <c r="CQ164" i="8" s="1"/>
  <c r="CT164" i="8" s="1"/>
  <c r="BC164" i="8" s="1"/>
  <c r="CP164" i="8"/>
  <c r="BH164" i="8" l="1"/>
  <c r="BJ164" i="8" s="1"/>
  <c r="AC164" i="8" s="1"/>
  <c r="AS164" i="8"/>
  <c r="AJ165" i="8"/>
  <c r="AH165" i="8" s="1"/>
  <c r="AX165" i="8"/>
  <c r="AB164" i="8" l="1"/>
  <c r="AI165" i="8"/>
  <c r="BA165" i="8" s="1"/>
  <c r="AN165" i="8"/>
  <c r="AR165" i="8" s="1"/>
  <c r="BB165" i="8" l="1"/>
  <c r="AK165" i="8"/>
  <c r="AL165" i="8" s="1"/>
  <c r="AM165" i="8" s="1"/>
  <c r="AO165" i="8" s="1"/>
  <c r="BI165" i="8" l="1"/>
  <c r="AV165" i="8"/>
  <c r="BG165" i="8"/>
  <c r="AP165" i="8"/>
  <c r="AQ165" i="8"/>
  <c r="AS165" i="8" l="1"/>
  <c r="AU165" i="8"/>
  <c r="AW166" i="8" l="1"/>
  <c r="AJ166" i="8" s="1"/>
  <c r="AH166" i="8" s="1"/>
  <c r="BD165" i="8"/>
  <c r="DB165" i="8" l="1"/>
  <c r="CA165" i="8"/>
  <c r="BV165" i="8" l="1"/>
  <c r="BX165" i="8"/>
  <c r="CD165" i="8" s="1"/>
  <c r="CE165" i="8" s="1"/>
  <c r="CF165" i="8" s="1"/>
  <c r="CC165" i="8"/>
  <c r="BU165" i="8"/>
  <c r="DC165" i="8"/>
  <c r="DE165" i="8"/>
  <c r="DF165" i="8"/>
  <c r="DD165" i="8" s="1"/>
  <c r="CG165" i="8" l="1"/>
  <c r="CH165" i="8" s="1"/>
  <c r="CO165" i="8" s="1"/>
  <c r="CS165" i="8" s="1"/>
  <c r="BW165" i="8"/>
  <c r="DG165" i="8"/>
  <c r="CR165" i="8" l="1"/>
  <c r="CQ165" i="8" s="1"/>
  <c r="CT165" i="8" s="1"/>
  <c r="BC165" i="8" s="1"/>
  <c r="BH165" i="8" s="1"/>
  <c r="BJ165" i="8" s="1"/>
  <c r="CP165" i="8"/>
  <c r="AN166" i="8"/>
  <c r="AR166" i="8" s="1"/>
  <c r="AX166" i="8"/>
  <c r="AI166" i="8" l="1"/>
  <c r="BB166" i="8" s="1"/>
  <c r="AC165" i="8"/>
  <c r="AB165" i="8"/>
  <c r="AK166" i="8" l="1"/>
  <c r="AV166" i="8" s="1"/>
  <c r="BA166" i="8"/>
  <c r="BD166" i="8"/>
  <c r="DB166" i="8" s="1"/>
  <c r="AW167" i="8"/>
  <c r="AL166" i="8" l="1"/>
  <c r="CA166" i="8"/>
  <c r="BU166" i="8" s="1"/>
  <c r="DE166" i="8"/>
  <c r="DF166" i="8"/>
  <c r="DD166" i="8" s="1"/>
  <c r="DG166" i="8" s="1"/>
  <c r="DC166" i="8"/>
  <c r="BX166" i="8"/>
  <c r="CD166" i="8" s="1"/>
  <c r="CE166" i="8" s="1"/>
  <c r="CF166" i="8" s="1"/>
  <c r="BG166" i="8" l="1"/>
  <c r="BV166" i="8"/>
  <c r="BW166" i="8" s="1"/>
  <c r="BI166" i="8"/>
  <c r="AM166" i="8"/>
  <c r="AO166" i="8" s="1"/>
  <c r="CC166" i="8"/>
  <c r="CG166" i="8" s="1"/>
  <c r="CH166" i="8" s="1"/>
  <c r="CO166" i="8" s="1"/>
  <c r="CR166" i="8" s="1"/>
  <c r="AP166" i="8" l="1"/>
  <c r="AQ166" i="8"/>
  <c r="AJ167" i="8" s="1"/>
  <c r="AH167" i="8" s="1"/>
  <c r="CP166" i="8"/>
  <c r="CS166" i="8"/>
  <c r="CQ166" i="8" s="1"/>
  <c r="CT166" i="8" s="1"/>
  <c r="BC166" i="8" s="1"/>
  <c r="BH166" i="8" l="1"/>
  <c r="BJ166" i="8" s="1"/>
  <c r="AC166" i="8" s="1"/>
  <c r="AU166" i="8"/>
  <c r="AS166" i="8"/>
  <c r="AI167" i="8" l="1"/>
  <c r="AB166" i="8"/>
  <c r="AN167" i="8"/>
  <c r="AR167" i="8" s="1"/>
  <c r="BA167" i="8" l="1"/>
  <c r="BB167" i="8"/>
  <c r="AK167" i="8"/>
  <c r="AL167" i="8" l="1"/>
  <c r="AV167" i="8"/>
  <c r="AX167" i="8"/>
  <c r="AM167" i="8" l="1"/>
  <c r="AO167" i="8" s="1"/>
  <c r="BG167" i="8"/>
  <c r="BI167" i="8"/>
  <c r="AQ167" i="8" l="1"/>
  <c r="AP167" i="8"/>
  <c r="BD167" i="8"/>
  <c r="CA167" i="8" s="1"/>
  <c r="AW168" i="8"/>
  <c r="AJ168" i="8" l="1"/>
  <c r="AH168" i="8" s="1"/>
  <c r="AU167" i="8"/>
  <c r="AS167" i="8"/>
  <c r="DB167" i="8"/>
  <c r="DE167" i="8" s="1"/>
  <c r="BU167" i="8"/>
  <c r="CC167" i="8"/>
  <c r="BV167" i="8"/>
  <c r="BX167" i="8"/>
  <c r="CD167" i="8" s="1"/>
  <c r="CE167" i="8" s="1"/>
  <c r="CF167" i="8" s="1"/>
  <c r="CG167" i="8" s="1"/>
  <c r="CH167" i="8" s="1"/>
  <c r="CO167" i="8" s="1"/>
  <c r="CR167" i="8" s="1"/>
  <c r="DF167" i="8" l="1"/>
  <c r="DD167" i="8" s="1"/>
  <c r="DG167" i="8" s="1"/>
  <c r="DC167" i="8"/>
  <c r="CP167" i="8"/>
  <c r="CS167" i="8"/>
  <c r="CQ167" i="8" s="1"/>
  <c r="CT167" i="8" s="1"/>
  <c r="BC167" i="8" s="1"/>
  <c r="BH167" i="8" s="1"/>
  <c r="BJ167" i="8" s="1"/>
  <c r="BW167" i="8"/>
  <c r="AI168" i="8" l="1"/>
  <c r="BB168" i="8" s="1"/>
  <c r="AC167" i="8"/>
  <c r="AB167" i="8"/>
  <c r="BA168" i="8" l="1"/>
  <c r="AK168" i="8"/>
  <c r="AN168" i="8" s="1"/>
  <c r="AR168" i="8" s="1"/>
  <c r="AL168" i="8" l="1"/>
  <c r="AV168" i="8"/>
  <c r="BD168" i="8"/>
  <c r="BG168" i="8" l="1"/>
  <c r="BI168" i="8"/>
  <c r="AM168" i="8"/>
  <c r="AO168" i="8" s="1"/>
  <c r="AW169" i="8"/>
  <c r="CA168" i="8"/>
  <c r="DB168" i="8"/>
  <c r="AX168" i="8"/>
  <c r="AQ168" i="8" l="1"/>
  <c r="AP168" i="8"/>
  <c r="BU168" i="8"/>
  <c r="CC168" i="8"/>
  <c r="BV168" i="8"/>
  <c r="BX168" i="8"/>
  <c r="DC168" i="8"/>
  <c r="DE168" i="8"/>
  <c r="DF168" i="8"/>
  <c r="DD168" i="8" l="1"/>
  <c r="DG168" i="8" s="1"/>
  <c r="AU168" i="8"/>
  <c r="AS168" i="8"/>
  <c r="AJ169" i="8"/>
  <c r="AH169" i="8" s="1"/>
  <c r="CD168" i="8"/>
  <c r="CE168" i="8" s="1"/>
  <c r="CF168" i="8" s="1"/>
  <c r="CG168" i="8" s="1"/>
  <c r="CH168" i="8" s="1"/>
  <c r="CO168" i="8" s="1"/>
  <c r="BW168" i="8"/>
  <c r="CR168" i="8" l="1"/>
  <c r="CP168" i="8"/>
  <c r="CS168" i="8"/>
  <c r="CQ168" i="8" l="1"/>
  <c r="CT168" i="8" s="1"/>
  <c r="BC168" i="8" s="1"/>
  <c r="BH168" i="8" s="1"/>
  <c r="BJ168" i="8" s="1"/>
  <c r="AI169" i="8" l="1"/>
  <c r="AK169" i="8" s="1"/>
  <c r="AV169" i="8" s="1"/>
  <c r="AC168" i="8"/>
  <c r="AB168" i="8"/>
  <c r="AN169" i="8"/>
  <c r="AR169" i="8" s="1"/>
  <c r="BB169" i="8" l="1"/>
  <c r="BA169" i="8"/>
  <c r="AL169" i="8"/>
  <c r="BI169" i="8" l="1"/>
  <c r="BG169" i="8"/>
  <c r="AM169" i="8"/>
  <c r="AO169" i="8" l="1"/>
  <c r="AQ169" i="8" s="1"/>
  <c r="AW170" i="8"/>
  <c r="AX169" i="8"/>
  <c r="BD169" i="8"/>
  <c r="AU169" i="8" l="1"/>
  <c r="AS169" i="8"/>
  <c r="AJ170" i="8"/>
  <c r="AH170" i="8" s="1"/>
  <c r="AP169" i="8"/>
  <c r="DB169" i="8"/>
  <c r="CA169" i="8"/>
  <c r="CC169" i="8" l="1"/>
  <c r="BV169" i="8"/>
  <c r="BU169" i="8"/>
  <c r="BX169" i="8"/>
  <c r="DC169" i="8"/>
  <c r="DE169" i="8"/>
  <c r="DF169" i="8"/>
  <c r="DD169" i="8" l="1"/>
  <c r="DG169" i="8" s="1"/>
  <c r="BW169" i="8"/>
  <c r="CD169" i="8"/>
  <c r="CE169" i="8" s="1"/>
  <c r="CF169" i="8" s="1"/>
  <c r="CG169" i="8" s="1"/>
  <c r="CH169" i="8" s="1"/>
  <c r="CO169" i="8" s="1"/>
  <c r="CR169" i="8" l="1"/>
  <c r="CS169" i="8"/>
  <c r="CP169" i="8"/>
  <c r="CQ169" i="8" l="1"/>
  <c r="CT169" i="8" s="1"/>
  <c r="BC169" i="8" s="1"/>
  <c r="BH169" i="8" s="1"/>
  <c r="BJ169" i="8" s="1"/>
  <c r="AI170" i="8" l="1"/>
  <c r="BB170" i="8" s="1"/>
  <c r="AB169" i="8"/>
  <c r="AC169" i="8"/>
  <c r="AN170" i="8"/>
  <c r="AR170" i="8" s="1"/>
  <c r="BA170" i="8" l="1"/>
  <c r="AK170" i="8"/>
  <c r="AV170" i="8" s="1"/>
  <c r="AL170" i="8" l="1"/>
  <c r="BI170" i="8" l="1"/>
  <c r="BG170" i="8"/>
  <c r="AM170" i="8"/>
  <c r="AW171" i="8"/>
  <c r="AX170" i="8"/>
  <c r="BD170" i="8"/>
  <c r="AO170" i="8" l="1"/>
  <c r="AQ170" i="8" s="1"/>
  <c r="DB170" i="8"/>
  <c r="CA170" i="8"/>
  <c r="AU170" i="8" l="1"/>
  <c r="AJ171" i="8"/>
  <c r="AH171" i="8" s="1"/>
  <c r="AS170" i="8"/>
  <c r="AP170" i="8"/>
  <c r="BV170" i="8"/>
  <c r="BU170" i="8"/>
  <c r="CC170" i="8"/>
  <c r="BX170" i="8"/>
  <c r="DC170" i="8"/>
  <c r="DE170" i="8"/>
  <c r="DF170" i="8"/>
  <c r="DD170" i="8" l="1"/>
  <c r="DG170" i="8" s="1"/>
  <c r="BW170" i="8"/>
  <c r="CD170" i="8"/>
  <c r="CE170" i="8" s="1"/>
  <c r="CF170" i="8" s="1"/>
  <c r="CG170" i="8" s="1"/>
  <c r="CH170" i="8" s="1"/>
  <c r="CO170" i="8" s="1"/>
  <c r="CR170" i="8" l="1"/>
  <c r="CP170" i="8"/>
  <c r="CS170" i="8"/>
  <c r="CQ170" i="8" l="1"/>
  <c r="CT170" i="8" s="1"/>
  <c r="BC170" i="8" s="1"/>
  <c r="BH170" i="8" s="1"/>
  <c r="BJ170" i="8" s="1"/>
  <c r="AI171" i="8" l="1"/>
  <c r="BB171" i="8" s="1"/>
  <c r="AC170" i="8"/>
  <c r="AB170" i="8"/>
  <c r="AN171" i="8"/>
  <c r="AR171" i="8" s="1"/>
  <c r="AK171" i="8" l="1"/>
  <c r="AV171" i="8" s="1"/>
  <c r="BA171" i="8"/>
  <c r="AL171" i="8" l="1"/>
  <c r="BI171" i="8" l="1"/>
  <c r="AM171" i="8"/>
  <c r="BG171" i="8"/>
  <c r="AW172" i="8"/>
  <c r="BD171" i="8"/>
  <c r="AO171" i="8" l="1"/>
  <c r="AQ171" i="8" s="1"/>
  <c r="DB171" i="8"/>
  <c r="CA171" i="8"/>
  <c r="AX171" i="8"/>
  <c r="AU171" i="8" l="1"/>
  <c r="AJ172" i="8"/>
  <c r="AH172" i="8" s="1"/>
  <c r="AS171" i="8"/>
  <c r="AP171" i="8"/>
  <c r="BV171" i="8"/>
  <c r="BU171" i="8"/>
  <c r="CC171" i="8"/>
  <c r="BX171" i="8"/>
  <c r="DC171" i="8"/>
  <c r="DE171" i="8"/>
  <c r="DF171" i="8"/>
  <c r="DD171" i="8" l="1"/>
  <c r="DG171" i="8" s="1"/>
  <c r="BW171" i="8"/>
  <c r="CD171" i="8"/>
  <c r="CE171" i="8" s="1"/>
  <c r="CF171" i="8" s="1"/>
  <c r="CG171" i="8" s="1"/>
  <c r="CH171" i="8" s="1"/>
  <c r="CO171" i="8" s="1"/>
  <c r="CR171" i="8" l="1"/>
  <c r="CS171" i="8"/>
  <c r="CP171" i="8"/>
  <c r="CQ171" i="8" l="1"/>
  <c r="CT171" i="8" s="1"/>
  <c r="BC171" i="8" s="1"/>
  <c r="BH171" i="8" s="1"/>
  <c r="BJ171" i="8" s="1"/>
  <c r="AI172" i="8" l="1"/>
  <c r="BB172" i="8" s="1"/>
  <c r="AC171" i="8"/>
  <c r="AB171" i="8"/>
  <c r="BA172" i="8" l="1"/>
  <c r="AK172" i="8"/>
  <c r="AN172" i="8" s="1"/>
  <c r="AR172" i="8" s="1"/>
  <c r="AV172" i="8" l="1"/>
  <c r="AL172" i="8"/>
  <c r="BG172" i="8" s="1"/>
  <c r="AM172" i="8" l="1"/>
  <c r="AO172" i="8" s="1"/>
  <c r="AQ172" i="8" s="1"/>
  <c r="BI172" i="8"/>
  <c r="AW173" i="8"/>
  <c r="BD172" i="8"/>
  <c r="AP172" i="8" l="1"/>
  <c r="AU172" i="8"/>
  <c r="AS172" i="8"/>
  <c r="AJ173" i="8"/>
  <c r="AH173" i="8" s="1"/>
  <c r="DB172" i="8"/>
  <c r="CA172" i="8"/>
  <c r="AX172" i="8"/>
  <c r="CC172" i="8" l="1"/>
  <c r="BU172" i="8"/>
  <c r="BV172" i="8"/>
  <c r="BX172" i="8"/>
  <c r="DC172" i="8"/>
  <c r="DE172" i="8"/>
  <c r="DF172" i="8"/>
  <c r="DD172" i="8" l="1"/>
  <c r="DG172" i="8" s="1"/>
  <c r="BW172" i="8"/>
  <c r="CD172" i="8"/>
  <c r="CE172" i="8" s="1"/>
  <c r="CF172" i="8" s="1"/>
  <c r="CG172" i="8" s="1"/>
  <c r="CH172" i="8" s="1"/>
  <c r="CO172" i="8" s="1"/>
  <c r="CR172" i="8" l="1"/>
  <c r="CS172" i="8"/>
  <c r="CP172" i="8"/>
  <c r="CQ172" i="8" l="1"/>
  <c r="CT172" i="8" s="1"/>
  <c r="BC172" i="8" s="1"/>
  <c r="BH172" i="8" s="1"/>
  <c r="BJ172" i="8" s="1"/>
  <c r="AI173" i="8" l="1"/>
  <c r="BB173" i="8" s="1"/>
  <c r="AC172" i="8"/>
  <c r="AB172" i="8"/>
  <c r="AN173" i="8"/>
  <c r="AR173" i="8" s="1"/>
  <c r="BA173" i="8" l="1"/>
  <c r="AK173" i="8"/>
  <c r="AV173" i="8" s="1"/>
  <c r="AL173" i="8" l="1"/>
  <c r="AM173" i="8" s="1"/>
  <c r="AO173" i="8" s="1"/>
  <c r="AQ173" i="8" s="1"/>
  <c r="BD173" i="8"/>
  <c r="BI173" i="8" l="1"/>
  <c r="BG173" i="8"/>
  <c r="AU173" i="8"/>
  <c r="AS173" i="8"/>
  <c r="AP173" i="8"/>
  <c r="AW174" i="8"/>
  <c r="AJ174" i="8" s="1"/>
  <c r="AH174" i="8" s="1"/>
  <c r="DB173" i="8"/>
  <c r="CA173" i="8"/>
  <c r="AX173" i="8"/>
  <c r="DC173" i="8" l="1"/>
  <c r="DE173" i="8"/>
  <c r="DF173" i="8"/>
  <c r="DD173" i="8" s="1"/>
  <c r="DG173" i="8" s="1"/>
  <c r="CC173" i="8"/>
  <c r="BU173" i="8"/>
  <c r="BV173" i="8"/>
  <c r="BX173" i="8"/>
  <c r="CD173" i="8" l="1"/>
  <c r="CE173" i="8" s="1"/>
  <c r="CF173" i="8" s="1"/>
  <c r="CG173" i="8" s="1"/>
  <c r="CH173" i="8" s="1"/>
  <c r="CO173" i="8" s="1"/>
  <c r="BW173" i="8"/>
  <c r="CR173" i="8" l="1"/>
  <c r="CS173" i="8"/>
  <c r="CP173" i="8"/>
  <c r="CQ173" i="8" l="1"/>
  <c r="CT173" i="8" s="1"/>
  <c r="BC173" i="8" s="1"/>
  <c r="BH173" i="8" s="1"/>
  <c r="BJ173" i="8" s="1"/>
  <c r="AI174" i="8" l="1"/>
  <c r="BB174" i="8" s="1"/>
  <c r="AC173" i="8"/>
  <c r="AB173" i="8"/>
  <c r="AN174" i="8"/>
  <c r="AR174" i="8" s="1"/>
  <c r="BA174" i="8" l="1"/>
  <c r="AK174" i="8"/>
  <c r="AV174" i="8" s="1"/>
  <c r="AL174" i="8" l="1"/>
  <c r="BG174" i="8" s="1"/>
  <c r="AM174" i="8" l="1"/>
  <c r="AO174" i="8" s="1"/>
  <c r="AQ174" i="8" s="1"/>
  <c r="BI174" i="8"/>
  <c r="AW175" i="8"/>
  <c r="BD174" i="8"/>
  <c r="AP174" i="8" l="1"/>
  <c r="AU174" i="8"/>
  <c r="AS174" i="8"/>
  <c r="AJ175" i="8"/>
  <c r="AH175" i="8" s="1"/>
  <c r="CA174" i="8"/>
  <c r="DB174" i="8"/>
  <c r="AX174" i="8"/>
  <c r="DE174" i="8" l="1"/>
  <c r="DC174" i="8"/>
  <c r="DF174" i="8"/>
  <c r="BU174" i="8"/>
  <c r="CC174" i="8"/>
  <c r="BV174" i="8"/>
  <c r="BX174" i="8"/>
  <c r="DD174" i="8" l="1"/>
  <c r="DG174" i="8" s="1"/>
  <c r="CD174" i="8"/>
  <c r="CE174" i="8" s="1"/>
  <c r="CF174" i="8" s="1"/>
  <c r="CG174" i="8" s="1"/>
  <c r="CH174" i="8" s="1"/>
  <c r="CO174" i="8" s="1"/>
  <c r="BW174" i="8"/>
  <c r="CR174" i="8" l="1"/>
  <c r="CS174" i="8"/>
  <c r="CP174" i="8"/>
  <c r="CQ174" i="8" l="1"/>
  <c r="CT174" i="8" s="1"/>
  <c r="BC174" i="8" s="1"/>
  <c r="BH174" i="8" s="1"/>
  <c r="BJ174" i="8" s="1"/>
  <c r="AI175" i="8" l="1"/>
  <c r="BA175" i="8" s="1"/>
  <c r="AC174" i="8"/>
  <c r="AB174" i="8"/>
  <c r="AN175" i="8"/>
  <c r="AR175" i="8" s="1"/>
  <c r="AK175" i="8" l="1"/>
  <c r="AV175" i="8" s="1"/>
  <c r="BB175" i="8"/>
  <c r="AL175" i="8" l="1"/>
  <c r="BI175" i="8" l="1"/>
  <c r="AM175" i="8"/>
  <c r="BG175" i="8"/>
  <c r="AW176" i="8"/>
  <c r="BD175" i="8"/>
  <c r="AO175" i="8" l="1"/>
  <c r="AQ175" i="8" s="1"/>
  <c r="DB175" i="8"/>
  <c r="CA175" i="8"/>
  <c r="AX175" i="8"/>
  <c r="AP175" i="8" l="1"/>
  <c r="AJ176" i="8"/>
  <c r="AH176" i="8" s="1"/>
  <c r="AS175" i="8"/>
  <c r="AU175" i="8"/>
  <c r="CC175" i="8"/>
  <c r="BU175" i="8"/>
  <c r="BV175" i="8"/>
  <c r="BX175" i="8"/>
  <c r="DE175" i="8"/>
  <c r="DC175" i="8"/>
  <c r="DF175" i="8"/>
  <c r="DD175" i="8" s="1"/>
  <c r="DG175" i="8" l="1"/>
  <c r="BW175" i="8"/>
  <c r="CD175" i="8"/>
  <c r="CE175" i="8" s="1"/>
  <c r="CF175" i="8" s="1"/>
  <c r="CG175" i="8" s="1"/>
  <c r="CH175" i="8" s="1"/>
  <c r="CO175" i="8" s="1"/>
  <c r="CR175" i="8" l="1"/>
  <c r="CS175" i="8"/>
  <c r="CP175" i="8"/>
  <c r="CQ175" i="8" l="1"/>
  <c r="CT175" i="8" s="1"/>
  <c r="BC175" i="8" s="1"/>
  <c r="BH175" i="8" s="1"/>
  <c r="BJ175" i="8" l="1"/>
  <c r="AI176" i="8" l="1"/>
  <c r="BA176" i="8" s="1"/>
  <c r="AB175" i="8"/>
  <c r="AC175" i="8"/>
  <c r="AK176" i="8" l="1"/>
  <c r="AN176" i="8" s="1"/>
  <c r="AR176" i="8" s="1"/>
  <c r="BB176" i="8"/>
  <c r="AV176" i="8" l="1"/>
  <c r="AL176" i="8"/>
  <c r="AM176" i="8" s="1"/>
  <c r="AO176" i="8" s="1"/>
  <c r="AP176" i="8" s="1"/>
  <c r="BD176" i="8"/>
  <c r="BG176" i="8" l="1"/>
  <c r="BI176" i="8"/>
  <c r="AQ176" i="8"/>
  <c r="AW177" i="8"/>
  <c r="CA176" i="8"/>
  <c r="DB176" i="8"/>
  <c r="AX176" i="8"/>
  <c r="AJ177" i="8" l="1"/>
  <c r="AH177" i="8" s="1"/>
  <c r="AU176" i="8"/>
  <c r="AS176" i="8"/>
  <c r="DE176" i="8"/>
  <c r="DF176" i="8"/>
  <c r="DC176" i="8"/>
  <c r="CC176" i="8"/>
  <c r="BV176" i="8"/>
  <c r="BU176" i="8"/>
  <c r="BX176" i="8"/>
  <c r="DD176" i="8" l="1"/>
  <c r="DG176" i="8" s="1"/>
  <c r="BW176" i="8"/>
  <c r="CD176" i="8"/>
  <c r="CE176" i="8" s="1"/>
  <c r="CF176" i="8" s="1"/>
  <c r="CG176" i="8" s="1"/>
  <c r="CH176" i="8" s="1"/>
  <c r="CO176" i="8" s="1"/>
  <c r="CS176" i="8" l="1"/>
  <c r="CR176" i="8"/>
  <c r="CP176" i="8"/>
  <c r="CQ176" i="8" l="1"/>
  <c r="CT176" i="8" s="1"/>
  <c r="BC176" i="8" s="1"/>
  <c r="BH176" i="8" s="1"/>
  <c r="BJ176" i="8" s="1"/>
  <c r="AI177" i="8" l="1"/>
  <c r="BB177" i="8" s="1"/>
  <c r="AB176" i="8"/>
  <c r="AC176" i="8"/>
  <c r="AN177" i="8"/>
  <c r="AR177" i="8" s="1"/>
  <c r="AK177" i="8" l="1"/>
  <c r="AV177" i="8" s="1"/>
  <c r="BA177" i="8"/>
  <c r="AL177" i="8" l="1"/>
  <c r="BI177" i="8" s="1"/>
  <c r="BD177" i="8"/>
  <c r="AM177" i="8" l="1"/>
  <c r="AO177" i="8" s="1"/>
  <c r="AQ177" i="8" s="1"/>
  <c r="BG177" i="8"/>
  <c r="AW178" i="8"/>
  <c r="CA177" i="8"/>
  <c r="DB177" i="8"/>
  <c r="AX177" i="8"/>
  <c r="AU177" i="8" l="1"/>
  <c r="AS177" i="8"/>
  <c r="AJ178" i="8"/>
  <c r="AH178" i="8" s="1"/>
  <c r="AP177" i="8"/>
  <c r="DE177" i="8"/>
  <c r="DC177" i="8"/>
  <c r="DF177" i="8"/>
  <c r="CC177" i="8"/>
  <c r="BU177" i="8"/>
  <c r="BV177" i="8"/>
  <c r="BX177" i="8"/>
  <c r="DD177" i="8" l="1"/>
  <c r="DG177" i="8" s="1"/>
  <c r="CD177" i="8"/>
  <c r="CE177" i="8" s="1"/>
  <c r="CF177" i="8" s="1"/>
  <c r="CG177" i="8" s="1"/>
  <c r="CH177" i="8" s="1"/>
  <c r="CO177" i="8" s="1"/>
  <c r="BW177" i="8"/>
  <c r="CS177" i="8" l="1"/>
  <c r="CR177" i="8"/>
  <c r="CP177" i="8"/>
  <c r="CQ177" i="8" l="1"/>
  <c r="CT177" i="8" s="1"/>
  <c r="BC177" i="8" s="1"/>
  <c r="BH177" i="8" s="1"/>
  <c r="BJ177" i="8" s="1"/>
  <c r="AI178" i="8" l="1"/>
  <c r="BA178" i="8" s="1"/>
  <c r="AB177" i="8"/>
  <c r="AC177" i="8"/>
  <c r="AN178" i="8"/>
  <c r="AR178" i="8" s="1"/>
  <c r="BB178" i="8" l="1"/>
  <c r="AK178" i="8"/>
  <c r="AL178" i="8" s="1"/>
  <c r="BI178" i="8" l="1"/>
  <c r="BG178" i="8"/>
  <c r="AM178" i="8"/>
  <c r="AV178" i="8"/>
  <c r="AO178" i="8" l="1"/>
  <c r="AQ178" i="8" s="1"/>
  <c r="AW179" i="8"/>
  <c r="AX178" i="8"/>
  <c r="BD178" i="8"/>
  <c r="AP178" i="8" l="1"/>
  <c r="AU178" i="8"/>
  <c r="AS178" i="8"/>
  <c r="AJ179" i="8"/>
  <c r="AH179" i="8" s="1"/>
  <c r="DB178" i="8"/>
  <c r="CA178" i="8"/>
  <c r="BU178" i="8" l="1"/>
  <c r="BV178" i="8"/>
  <c r="CC178" i="8"/>
  <c r="BX178" i="8"/>
  <c r="DE178" i="8"/>
  <c r="DC178" i="8"/>
  <c r="DF178" i="8"/>
  <c r="DD178" i="8" s="1"/>
  <c r="DG178" i="8" s="1"/>
  <c r="CD178" i="8" l="1"/>
  <c r="CE178" i="8" s="1"/>
  <c r="CF178" i="8" s="1"/>
  <c r="CG178" i="8" s="1"/>
  <c r="CH178" i="8" s="1"/>
  <c r="CO178" i="8" s="1"/>
  <c r="BW178" i="8"/>
  <c r="CP178" i="8" l="1"/>
  <c r="CS178" i="8"/>
  <c r="CR178" i="8"/>
  <c r="CQ178" i="8" l="1"/>
  <c r="CT178" i="8" s="1"/>
  <c r="BC178" i="8" s="1"/>
  <c r="BH178" i="8" s="1"/>
  <c r="BJ178" i="8" l="1"/>
  <c r="AI179" i="8" l="1"/>
  <c r="BA179" i="8" s="1"/>
  <c r="AB178" i="8"/>
  <c r="AC178" i="8"/>
  <c r="BB179" i="8" l="1"/>
  <c r="AK179" i="8"/>
  <c r="AL179" i="8" s="1"/>
  <c r="AN179" i="8"/>
  <c r="AR179" i="8" s="1"/>
  <c r="AV179" i="8" l="1"/>
  <c r="AM179" i="8"/>
  <c r="AO179" i="8" s="1"/>
  <c r="BI179" i="8"/>
  <c r="BG179" i="8"/>
  <c r="AX179" i="8"/>
  <c r="AQ179" i="8" l="1"/>
  <c r="AP179" i="8"/>
  <c r="AU179" i="8" l="1"/>
  <c r="AS179" i="8"/>
  <c r="AW180" i="8" l="1"/>
  <c r="AJ180" i="8" s="1"/>
  <c r="AH180" i="8" s="1"/>
  <c r="BD179" i="8"/>
  <c r="DB179" i="8" l="1"/>
  <c r="CA179" i="8"/>
  <c r="CC179" i="8" l="1"/>
  <c r="BV179" i="8"/>
  <c r="BX179" i="8"/>
  <c r="CD179" i="8" s="1"/>
  <c r="CE179" i="8" s="1"/>
  <c r="CF179" i="8" s="1"/>
  <c r="CG179" i="8" s="1"/>
  <c r="CH179" i="8" s="1"/>
  <c r="CO179" i="8" s="1"/>
  <c r="BU179" i="8"/>
  <c r="DE179" i="8"/>
  <c r="DF179" i="8"/>
  <c r="DD179" i="8" s="1"/>
  <c r="DG179" i="8" s="1"/>
  <c r="DC179" i="8"/>
  <c r="BW179" i="8" l="1"/>
  <c r="CP179" i="8"/>
  <c r="CR179" i="8"/>
  <c r="CS179" i="8"/>
  <c r="CQ179" i="8" l="1"/>
  <c r="CT179" i="8" s="1"/>
  <c r="BC179" i="8" s="1"/>
  <c r="BH179" i="8" s="1"/>
  <c r="BJ179" i="8" s="1"/>
  <c r="AI180" i="8" l="1"/>
  <c r="BB180" i="8" s="1"/>
  <c r="AB179" i="8"/>
  <c r="AC179" i="8"/>
  <c r="AN180" i="8"/>
  <c r="BA180" i="8" l="1"/>
  <c r="AK180" i="8"/>
  <c r="AL180" i="8" s="1"/>
  <c r="AM180" i="8" s="1"/>
  <c r="AO180" i="8" s="1"/>
  <c r="AR180" i="8"/>
  <c r="AX180" i="8"/>
  <c r="BI180" i="8" l="1"/>
  <c r="BG180" i="8"/>
  <c r="AV180" i="8"/>
  <c r="AQ180" i="8"/>
  <c r="AP180" i="8"/>
  <c r="AU180" i="8" l="1"/>
  <c r="AS180" i="8"/>
  <c r="BD180" i="8" l="1"/>
  <c r="CA180" i="8" s="1"/>
  <c r="AW181" i="8"/>
  <c r="AJ181" i="8" s="1"/>
  <c r="AH181" i="8" s="1"/>
  <c r="DB180" i="8" l="1"/>
  <c r="DF180" i="8" s="1"/>
  <c r="CC180" i="8"/>
  <c r="BV180" i="8"/>
  <c r="BU180" i="8"/>
  <c r="BX180" i="8"/>
  <c r="CD180" i="8" s="1"/>
  <c r="CE180" i="8" s="1"/>
  <c r="CF180" i="8" s="1"/>
  <c r="CG180" i="8" s="1"/>
  <c r="CH180" i="8" s="1"/>
  <c r="CO180" i="8" s="1"/>
  <c r="DC180" i="8" l="1"/>
  <c r="DE180" i="8"/>
  <c r="DD180" i="8" s="1"/>
  <c r="DG180" i="8" s="1"/>
  <c r="BW180" i="8"/>
  <c r="CP180" i="8"/>
  <c r="CR180" i="8"/>
  <c r="CS180" i="8"/>
  <c r="CQ180" i="8" l="1"/>
  <c r="CT180" i="8" s="1"/>
  <c r="BC180" i="8" s="1"/>
  <c r="BH180" i="8" s="1"/>
  <c r="BJ180" i="8" s="1"/>
  <c r="AI181" i="8" l="1"/>
  <c r="BA181" i="8" s="1"/>
  <c r="AC180" i="8"/>
  <c r="AB180" i="8"/>
  <c r="AN181" i="8"/>
  <c r="AR181" i="8" s="1"/>
  <c r="AK181" i="8" l="1"/>
  <c r="AV181" i="8" s="1"/>
  <c r="BB181" i="8"/>
  <c r="AL181" i="8" l="1"/>
  <c r="BI181" i="8" s="1"/>
  <c r="AX181" i="8"/>
  <c r="BG181" i="8" l="1"/>
  <c r="AM181" i="8"/>
  <c r="AO181" i="8" s="1"/>
  <c r="AP181" i="8" l="1"/>
  <c r="AQ181" i="8"/>
  <c r="AU181" i="8" s="1"/>
  <c r="AW182" i="8"/>
  <c r="BD181" i="8"/>
  <c r="AJ182" i="8" l="1"/>
  <c r="AH182" i="8" s="1"/>
  <c r="AS181" i="8"/>
  <c r="CA181" i="8"/>
  <c r="DB181" i="8"/>
  <c r="DE181" i="8" l="1"/>
  <c r="DC181" i="8"/>
  <c r="DF181" i="8"/>
  <c r="BV181" i="8"/>
  <c r="BU181" i="8"/>
  <c r="BX181" i="8"/>
  <c r="CD181" i="8" s="1"/>
  <c r="CE181" i="8" s="1"/>
  <c r="CF181" i="8" s="1"/>
  <c r="CC181" i="8"/>
  <c r="DD181" i="8" l="1"/>
  <c r="DG181" i="8" s="1"/>
  <c r="CG181" i="8"/>
  <c r="CH181" i="8" s="1"/>
  <c r="CO181" i="8" s="1"/>
  <c r="CS181" i="8" s="1"/>
  <c r="BW181" i="8"/>
  <c r="CR181" i="8" l="1"/>
  <c r="CQ181" i="8" s="1"/>
  <c r="CT181" i="8" s="1"/>
  <c r="BC181" i="8" s="1"/>
  <c r="BH181" i="8" s="1"/>
  <c r="BJ181" i="8" s="1"/>
  <c r="CP181" i="8"/>
  <c r="AI182" i="8" l="1"/>
  <c r="BB182" i="8" s="1"/>
  <c r="AC181" i="8"/>
  <c r="AB181" i="8"/>
  <c r="AN182" i="8"/>
  <c r="AR182" i="8" s="1"/>
  <c r="AK182" i="8" l="1"/>
  <c r="AL182" i="8" s="1"/>
  <c r="BI182" i="8" s="1"/>
  <c r="BA182" i="8"/>
  <c r="BG182" i="8" l="1"/>
  <c r="AV182" i="8"/>
  <c r="AM182" i="8"/>
  <c r="AO182" i="8" s="1"/>
  <c r="AX182" i="8"/>
  <c r="AQ182" i="8" l="1"/>
  <c r="AU182" i="8" s="1"/>
  <c r="AP182" i="8"/>
  <c r="AS182" i="8" l="1"/>
  <c r="BD182" i="8"/>
  <c r="CA182" i="8" s="1"/>
  <c r="AW183" i="8"/>
  <c r="AJ183" i="8" s="1"/>
  <c r="AH183" i="8" s="1"/>
  <c r="DB182" i="8" l="1"/>
  <c r="DF182" i="8" s="1"/>
  <c r="CC182" i="8"/>
  <c r="BX182" i="8"/>
  <c r="CD182" i="8" s="1"/>
  <c r="CE182" i="8" s="1"/>
  <c r="CF182" i="8" s="1"/>
  <c r="CG182" i="8" s="1"/>
  <c r="CH182" i="8" s="1"/>
  <c r="CO182" i="8" s="1"/>
  <c r="CS182" i="8" s="1"/>
  <c r="BU182" i="8"/>
  <c r="BV182" i="8"/>
  <c r="DE182" i="8" l="1"/>
  <c r="DD182" i="8" s="1"/>
  <c r="DC182" i="8"/>
  <c r="CP182" i="8"/>
  <c r="BW182" i="8"/>
  <c r="CR182" i="8"/>
  <c r="DG182" i="8" l="1"/>
  <c r="CQ182" i="8"/>
  <c r="CT182" i="8" s="1"/>
  <c r="BC182" i="8" s="1"/>
  <c r="BH182" i="8" s="1"/>
  <c r="BJ182" i="8" s="1"/>
  <c r="AI183" i="8" l="1"/>
  <c r="BA183" i="8" s="1"/>
  <c r="AC182" i="8"/>
  <c r="AB182" i="8"/>
  <c r="AK183" i="8" l="1"/>
  <c r="AL183" i="8" s="1"/>
  <c r="BB183" i="8"/>
  <c r="AN183" i="8"/>
  <c r="AR183" i="8" s="1"/>
  <c r="AM183" i="8" l="1"/>
  <c r="AO183" i="8" s="1"/>
  <c r="AV183" i="8"/>
  <c r="BI183" i="8"/>
  <c r="BG183" i="8"/>
  <c r="AQ183" i="8" l="1"/>
  <c r="AP183" i="8"/>
  <c r="AX183" i="8"/>
  <c r="AU183" i="8" l="1"/>
  <c r="AS183" i="8"/>
  <c r="BD183" i="8" l="1"/>
  <c r="DB183" i="8" s="1"/>
  <c r="AW184" i="8"/>
  <c r="AJ184" i="8" s="1"/>
  <c r="AH184" i="8" s="1"/>
  <c r="CA183" i="8" l="1"/>
  <c r="BV183" i="8" s="1"/>
  <c r="DF183" i="8"/>
  <c r="DC183" i="8"/>
  <c r="DE183" i="8"/>
  <c r="BU183" i="8" l="1"/>
  <c r="BW183" i="8" s="1"/>
  <c r="CC183" i="8"/>
  <c r="BX183" i="8"/>
  <c r="CD183" i="8" s="1"/>
  <c r="CE183" i="8" s="1"/>
  <c r="CF183" i="8" s="1"/>
  <c r="CG183" i="8" s="1"/>
  <c r="CH183" i="8" s="1"/>
  <c r="CO183" i="8" s="1"/>
  <c r="CR183" i="8" s="1"/>
  <c r="DD183" i="8"/>
  <c r="DG183" i="8" s="1"/>
  <c r="CP183" i="8" l="1"/>
  <c r="CS183" i="8"/>
  <c r="CQ183" i="8" s="1"/>
  <c r="CT183" i="8" s="1"/>
  <c r="BC183" i="8" s="1"/>
  <c r="BH183" i="8" s="1"/>
  <c r="BJ183" i="8" s="1"/>
  <c r="AI184" i="8" l="1"/>
  <c r="BB184" i="8" s="1"/>
  <c r="AC183" i="8"/>
  <c r="AB183" i="8"/>
  <c r="BA184" i="8" l="1"/>
  <c r="AK184" i="8"/>
  <c r="AV184" i="8" s="1"/>
  <c r="AN184" i="8"/>
  <c r="AR184" i="8" s="1"/>
  <c r="AL184" i="8" l="1"/>
  <c r="BG184" i="8" l="1"/>
  <c r="AM184" i="8"/>
  <c r="BI184" i="8"/>
  <c r="AX184" i="8"/>
  <c r="AO184" i="8" l="1"/>
  <c r="AQ184" i="8" s="1"/>
  <c r="AP184" i="8" l="1"/>
  <c r="AU184" i="8"/>
  <c r="AS184" i="8"/>
  <c r="AW185" i="8"/>
  <c r="AJ185" i="8" s="1"/>
  <c r="AH185" i="8" s="1"/>
  <c r="BD184" i="8"/>
  <c r="CA184" i="8" l="1"/>
  <c r="DB184" i="8"/>
  <c r="DE184" i="8" l="1"/>
  <c r="DF184" i="8"/>
  <c r="DC184" i="8"/>
  <c r="BX184" i="8"/>
  <c r="CD184" i="8" s="1"/>
  <c r="CE184" i="8" s="1"/>
  <c r="CF184" i="8" s="1"/>
  <c r="CC184" i="8"/>
  <c r="BU184" i="8"/>
  <c r="BV184" i="8"/>
  <c r="DD184" i="8" l="1"/>
  <c r="DG184" i="8" s="1"/>
  <c r="CG184" i="8"/>
  <c r="CH184" i="8" s="1"/>
  <c r="CO184" i="8" s="1"/>
  <c r="CP184" i="8" s="1"/>
  <c r="BW184" i="8"/>
  <c r="CR184" i="8" l="1"/>
  <c r="CS184" i="8"/>
  <c r="AN185" i="8"/>
  <c r="AR185" i="8" s="1"/>
  <c r="CQ184" i="8" l="1"/>
  <c r="CT184" i="8" s="1"/>
  <c r="BC184" i="8" s="1"/>
  <c r="BH184" i="8" s="1"/>
  <c r="BJ184" i="8" s="1"/>
  <c r="AI185" i="8" s="1"/>
  <c r="AK185" i="8" s="1"/>
  <c r="AL185" i="8" s="1"/>
  <c r="AM185" i="8" l="1"/>
  <c r="AO185" i="8" s="1"/>
  <c r="AP185" i="8" s="1"/>
  <c r="AB184" i="8"/>
  <c r="AC184" i="8"/>
  <c r="BI185" i="8"/>
  <c r="BB185" i="8"/>
  <c r="BG185" i="8" s="1"/>
  <c r="BA185" i="8"/>
  <c r="AV185" i="8"/>
  <c r="AW186" i="8"/>
  <c r="BD185" i="8"/>
  <c r="AQ185" i="8" l="1"/>
  <c r="CA185" i="8"/>
  <c r="DB185" i="8"/>
  <c r="AX185" i="8"/>
  <c r="AU185" i="8" l="1"/>
  <c r="AS185" i="8"/>
  <c r="AJ186" i="8"/>
  <c r="AH186" i="8" s="1"/>
  <c r="DF185" i="8"/>
  <c r="DC185" i="8"/>
  <c r="DE185" i="8"/>
  <c r="BU185" i="8"/>
  <c r="BV185" i="8"/>
  <c r="CC185" i="8"/>
  <c r="BX185" i="8"/>
  <c r="DD185" i="8" l="1"/>
  <c r="DG185" i="8" s="1"/>
  <c r="BW185" i="8"/>
  <c r="CD185" i="8"/>
  <c r="CE185" i="8" s="1"/>
  <c r="CF185" i="8" s="1"/>
  <c r="CG185" i="8" s="1"/>
  <c r="CH185" i="8" s="1"/>
  <c r="CO185" i="8" s="1"/>
  <c r="CP185" i="8" l="1"/>
  <c r="CR185" i="8"/>
  <c r="CS185" i="8"/>
  <c r="CQ185" i="8" l="1"/>
  <c r="CT185" i="8" s="1"/>
  <c r="BC185" i="8" s="1"/>
  <c r="BH185" i="8" s="1"/>
  <c r="BJ185" i="8" s="1"/>
  <c r="AI186" i="8" l="1"/>
  <c r="BB186" i="8" s="1"/>
  <c r="AC185" i="8"/>
  <c r="AB185" i="8"/>
  <c r="AK186" i="8" l="1"/>
  <c r="AN186" i="8" s="1"/>
  <c r="AR186" i="8" s="1"/>
  <c r="BA186" i="8"/>
  <c r="AL186" i="8" l="1"/>
  <c r="AM186" i="8" s="1"/>
  <c r="AV186" i="8"/>
  <c r="BI186" i="8" l="1"/>
  <c r="AO186" i="8"/>
  <c r="AQ186" i="8" s="1"/>
  <c r="BG186" i="8"/>
  <c r="AW187" i="8"/>
  <c r="BD186" i="8"/>
  <c r="AP186" i="8" l="1"/>
  <c r="AU186" i="8"/>
  <c r="AS186" i="8"/>
  <c r="AJ187" i="8"/>
  <c r="AH187" i="8" s="1"/>
  <c r="DB186" i="8"/>
  <c r="CA186" i="8"/>
  <c r="AX186" i="8"/>
  <c r="BU186" i="8" l="1"/>
  <c r="CC186" i="8"/>
  <c r="BV186" i="8"/>
  <c r="BX186" i="8"/>
  <c r="DC186" i="8"/>
  <c r="DE186" i="8"/>
  <c r="DF186" i="8"/>
  <c r="DD186" i="8" l="1"/>
  <c r="DG186" i="8" s="1"/>
  <c r="CD186" i="8"/>
  <c r="CE186" i="8" s="1"/>
  <c r="CF186" i="8" s="1"/>
  <c r="CG186" i="8" s="1"/>
  <c r="CH186" i="8" s="1"/>
  <c r="CO186" i="8" s="1"/>
  <c r="BW186" i="8"/>
  <c r="CR186" i="8" l="1"/>
  <c r="CP186" i="8"/>
  <c r="CS186" i="8"/>
  <c r="CQ186" i="8" l="1"/>
  <c r="CT186" i="8" s="1"/>
  <c r="BC186" i="8" s="1"/>
  <c r="BH186" i="8" s="1"/>
  <c r="BJ186" i="8" s="1"/>
  <c r="AI187" i="8" l="1"/>
  <c r="BB187" i="8" s="1"/>
  <c r="AC186" i="8"/>
  <c r="AB186" i="8"/>
  <c r="AK187" i="8" l="1"/>
  <c r="AN187" i="8" s="1"/>
  <c r="AR187" i="8" s="1"/>
  <c r="BA187" i="8"/>
  <c r="AV187" i="8" l="1"/>
  <c r="AL187" i="8"/>
  <c r="BG187" i="8" s="1"/>
  <c r="BD187" i="8"/>
  <c r="AM187" i="8" l="1"/>
  <c r="AO187" i="8" s="1"/>
  <c r="AQ187" i="8" s="1"/>
  <c r="BI187" i="8"/>
  <c r="AW188" i="8"/>
  <c r="DB187" i="8"/>
  <c r="CA187" i="8"/>
  <c r="AX187" i="8"/>
  <c r="AP187" i="8" l="1"/>
  <c r="AU187" i="8"/>
  <c r="AS187" i="8"/>
  <c r="AJ188" i="8"/>
  <c r="AH188" i="8" s="1"/>
  <c r="BU187" i="8"/>
  <c r="CC187" i="8"/>
  <c r="BV187" i="8"/>
  <c r="BX187" i="8"/>
  <c r="DC187" i="8"/>
  <c r="DF187" i="8"/>
  <c r="DE187" i="8"/>
  <c r="DD187" i="8" l="1"/>
  <c r="DG187" i="8" s="1"/>
  <c r="CD187" i="8"/>
  <c r="CE187" i="8" s="1"/>
  <c r="CF187" i="8" s="1"/>
  <c r="CG187" i="8" s="1"/>
  <c r="CH187" i="8" s="1"/>
  <c r="CO187" i="8" s="1"/>
  <c r="BW187" i="8"/>
  <c r="CR187" i="8" l="1"/>
  <c r="CS187" i="8"/>
  <c r="CP187" i="8"/>
  <c r="CQ187" i="8" l="1"/>
  <c r="CT187" i="8" s="1"/>
  <c r="BC187" i="8" s="1"/>
  <c r="BH187" i="8" s="1"/>
  <c r="BJ187" i="8" s="1"/>
  <c r="AI188" i="8" l="1"/>
  <c r="BA188" i="8" s="1"/>
  <c r="AB187" i="8"/>
  <c r="AC187" i="8"/>
  <c r="AN188" i="8"/>
  <c r="AR188" i="8" s="1"/>
  <c r="AK188" i="8" l="1"/>
  <c r="AV188" i="8" s="1"/>
  <c r="BB188" i="8"/>
  <c r="AL188" i="8" l="1"/>
  <c r="BI188" i="8" l="1"/>
  <c r="BG188" i="8"/>
  <c r="AM188" i="8"/>
  <c r="AW189" i="8"/>
  <c r="BD188" i="8"/>
  <c r="AO188" i="8" l="1"/>
  <c r="AP188" i="8" s="1"/>
  <c r="DB188" i="8"/>
  <c r="CA188" i="8"/>
  <c r="AX188" i="8"/>
  <c r="AQ188" i="8" l="1"/>
  <c r="AU188" i="8" s="1"/>
  <c r="CC188" i="8"/>
  <c r="BU188" i="8"/>
  <c r="BV188" i="8"/>
  <c r="BX188" i="8"/>
  <c r="DC188" i="8"/>
  <c r="DF188" i="8"/>
  <c r="DE188" i="8"/>
  <c r="AJ189" i="8" l="1"/>
  <c r="AH189" i="8" s="1"/>
  <c r="AS188" i="8"/>
  <c r="DD188" i="8"/>
  <c r="DG188" i="8" s="1"/>
  <c r="CD188" i="8"/>
  <c r="CE188" i="8" s="1"/>
  <c r="CF188" i="8" s="1"/>
  <c r="CG188" i="8" s="1"/>
  <c r="CH188" i="8" s="1"/>
  <c r="CO188" i="8" s="1"/>
  <c r="BW188" i="8"/>
  <c r="CS188" i="8" l="1"/>
  <c r="CR188" i="8"/>
  <c r="CP188" i="8"/>
  <c r="CQ188" i="8" l="1"/>
  <c r="CT188" i="8" s="1"/>
  <c r="BC188" i="8" s="1"/>
  <c r="BH188" i="8" s="1"/>
  <c r="BJ188" i="8" l="1"/>
  <c r="AI189" i="8" l="1"/>
  <c r="BB189" i="8" s="1"/>
  <c r="AC188" i="8"/>
  <c r="AB188" i="8"/>
  <c r="BA189" i="8" l="1"/>
  <c r="AK189" i="8"/>
  <c r="AL189" i="8" s="1"/>
  <c r="AN189" i="8"/>
  <c r="AR189" i="8" s="1"/>
  <c r="AV189" i="8" l="1"/>
  <c r="AM189" i="8"/>
  <c r="AO189" i="8" s="1"/>
  <c r="BI189" i="8"/>
  <c r="BG189" i="8"/>
  <c r="AQ189" i="8" l="1"/>
  <c r="AP189" i="8"/>
  <c r="AX189" i="8"/>
  <c r="AU189" i="8" l="1"/>
  <c r="AS189" i="8"/>
  <c r="AW190" i="8" l="1"/>
  <c r="AJ190" i="8" s="1"/>
  <c r="AH190" i="8" s="1"/>
  <c r="BD189" i="8"/>
  <c r="CA189" i="8" l="1"/>
  <c r="DB189" i="8"/>
  <c r="DC189" i="8" l="1"/>
  <c r="DE189" i="8"/>
  <c r="DF189" i="8"/>
  <c r="DD189" i="8" s="1"/>
  <c r="CC189" i="8"/>
  <c r="BU189" i="8"/>
  <c r="BV189" i="8"/>
  <c r="BX189" i="8"/>
  <c r="CD189" i="8" s="1"/>
  <c r="CE189" i="8" s="1"/>
  <c r="CF189" i="8" s="1"/>
  <c r="CG189" i="8" s="1"/>
  <c r="CH189" i="8" s="1"/>
  <c r="CO189" i="8" s="1"/>
  <c r="DG189" i="8" l="1"/>
  <c r="CS189" i="8"/>
  <c r="CP189" i="8"/>
  <c r="CR189" i="8"/>
  <c r="BW189" i="8"/>
  <c r="CQ189" i="8" l="1"/>
  <c r="CT189" i="8" s="1"/>
  <c r="BC189" i="8" s="1"/>
  <c r="BH189" i="8" s="1"/>
  <c r="BJ189" i="8" s="1"/>
  <c r="AX190" i="8"/>
  <c r="AI190" i="8" l="1"/>
  <c r="AK190" i="8" s="1"/>
  <c r="AN190" i="8" s="1"/>
  <c r="AR190" i="8" s="1"/>
  <c r="AC189" i="8"/>
  <c r="AB189" i="8"/>
  <c r="BB190" i="8" l="1"/>
  <c r="BA190" i="8"/>
  <c r="AV190" i="8"/>
  <c r="AL190" i="8"/>
  <c r="BG190" i="8" l="1"/>
  <c r="AM190" i="8"/>
  <c r="AO190" i="8" s="1"/>
  <c r="BI190" i="8"/>
  <c r="AQ190" i="8" l="1"/>
  <c r="AP190" i="8"/>
  <c r="AS190" i="8" l="1"/>
  <c r="AU190" i="8"/>
  <c r="AW191" i="8" l="1"/>
  <c r="AJ191" i="8" s="1"/>
  <c r="AH191" i="8" s="1"/>
  <c r="BD190" i="8"/>
  <c r="CA190" i="8" l="1"/>
  <c r="DB190" i="8"/>
  <c r="DE190" i="8" l="1"/>
  <c r="DC190" i="8"/>
  <c r="DF190" i="8"/>
  <c r="CC190" i="8"/>
  <c r="BX190" i="8"/>
  <c r="CD190" i="8" s="1"/>
  <c r="CE190" i="8" s="1"/>
  <c r="CF190" i="8" s="1"/>
  <c r="CG190" i="8" s="1"/>
  <c r="CH190" i="8" s="1"/>
  <c r="CO190" i="8" s="1"/>
  <c r="BV190" i="8"/>
  <c r="BU190" i="8"/>
  <c r="DD190" i="8" l="1"/>
  <c r="DG190" i="8" s="1"/>
  <c r="BW190" i="8"/>
  <c r="CS190" i="8"/>
  <c r="CR190" i="8"/>
  <c r="CP190" i="8"/>
  <c r="AX191" i="8"/>
  <c r="CQ190" i="8" l="1"/>
  <c r="CT190" i="8" s="1"/>
  <c r="BC190" i="8" s="1"/>
  <c r="BH190" i="8" s="1"/>
  <c r="BJ190" i="8" s="1"/>
  <c r="AI191" i="8" l="1"/>
  <c r="BA191" i="8" s="1"/>
  <c r="AB190" i="8"/>
  <c r="AC190" i="8"/>
  <c r="AN191" i="8"/>
  <c r="AR191" i="8" s="1"/>
  <c r="BB191" i="8" l="1"/>
  <c r="AK191" i="8"/>
  <c r="AV191" i="8" s="1"/>
  <c r="AL191" i="8" l="1"/>
  <c r="BG191" i="8" l="1"/>
  <c r="AM191" i="8"/>
  <c r="AO191" i="8" s="1"/>
  <c r="BI191" i="8"/>
  <c r="AP191" i="8" l="1"/>
  <c r="AQ191" i="8"/>
  <c r="AW192" i="8"/>
  <c r="BD191" i="8"/>
  <c r="AJ192" i="8" l="1"/>
  <c r="AH192" i="8" s="1"/>
  <c r="AU191" i="8"/>
  <c r="AS191" i="8"/>
  <c r="CA191" i="8"/>
  <c r="DB191" i="8"/>
  <c r="DF191" i="8" l="1"/>
  <c r="DC191" i="8"/>
  <c r="DE191" i="8"/>
  <c r="BX191" i="8"/>
  <c r="CD191" i="8" s="1"/>
  <c r="CE191" i="8" s="1"/>
  <c r="CF191" i="8" s="1"/>
  <c r="BU191" i="8"/>
  <c r="BV191" i="8"/>
  <c r="CC191" i="8"/>
  <c r="AX192" i="8"/>
  <c r="CG191" i="8" l="1"/>
  <c r="CH191" i="8" s="1"/>
  <c r="CO191" i="8" s="1"/>
  <c r="CS191" i="8" s="1"/>
  <c r="DD191" i="8"/>
  <c r="DG191" i="8" s="1"/>
  <c r="BW191" i="8"/>
  <c r="CP191" i="8" l="1"/>
  <c r="CR191" i="8"/>
  <c r="CQ191" i="8" s="1"/>
  <c r="CT191" i="8" s="1"/>
  <c r="BC191" i="8" s="1"/>
  <c r="BH191" i="8" s="1"/>
  <c r="BJ191" i="8" s="1"/>
  <c r="AI192" i="8" l="1"/>
  <c r="AK192" i="8" s="1"/>
  <c r="AB191" i="8"/>
  <c r="AC191" i="8"/>
  <c r="AN192" i="8"/>
  <c r="AL192" i="8" l="1"/>
  <c r="AV192" i="8"/>
  <c r="BA192" i="8"/>
  <c r="BB192" i="8"/>
  <c r="AR192" i="8"/>
  <c r="BG192" i="8" l="1"/>
  <c r="AM192" i="8"/>
  <c r="AO192" i="8" s="1"/>
  <c r="BI192" i="8"/>
  <c r="AP192" i="8" l="1"/>
  <c r="AQ192" i="8"/>
  <c r="AU192" i="8" s="1"/>
  <c r="BD192" i="8"/>
  <c r="AW193" i="8"/>
  <c r="AJ193" i="8" l="1"/>
  <c r="AH193" i="8" s="1"/>
  <c r="AS192" i="8"/>
  <c r="CA192" i="8"/>
  <c r="DB192" i="8"/>
  <c r="DE192" i="8" l="1"/>
  <c r="DF192" i="8"/>
  <c r="DC192" i="8"/>
  <c r="BU192" i="8"/>
  <c r="BX192" i="8"/>
  <c r="CD192" i="8" s="1"/>
  <c r="CE192" i="8" s="1"/>
  <c r="CF192" i="8" s="1"/>
  <c r="CG192" i="8" s="1"/>
  <c r="CH192" i="8" s="1"/>
  <c r="CO192" i="8" s="1"/>
  <c r="CC192" i="8"/>
  <c r="BV192" i="8"/>
  <c r="DD192" i="8" l="1"/>
  <c r="DG192" i="8" s="1"/>
  <c r="CS192" i="8"/>
  <c r="CP192" i="8"/>
  <c r="CR192" i="8"/>
  <c r="BW192" i="8"/>
  <c r="AX193" i="8"/>
  <c r="CQ192" i="8" l="1"/>
  <c r="CT192" i="8" s="1"/>
  <c r="BC192" i="8" s="1"/>
  <c r="BH192" i="8" s="1"/>
  <c r="BJ192" i="8" s="1"/>
  <c r="AI193" i="8" l="1"/>
  <c r="BA193" i="8" s="1"/>
  <c r="AB192" i="8"/>
  <c r="AC192" i="8"/>
  <c r="AN193" i="8"/>
  <c r="AR193" i="8" s="1"/>
  <c r="AK193" i="8" l="1"/>
  <c r="AL193" i="8" s="1"/>
  <c r="AM193" i="8" s="1"/>
  <c r="BB193" i="8"/>
  <c r="BI193" i="8" l="1"/>
  <c r="AO193" i="8"/>
  <c r="AP193" i="8" s="1"/>
  <c r="BG193" i="8"/>
  <c r="AV193" i="8"/>
  <c r="AW194" i="8"/>
  <c r="BD193" i="8"/>
  <c r="AQ193" i="8" l="1"/>
  <c r="AJ194" i="8" s="1"/>
  <c r="AH194" i="8" s="1"/>
  <c r="DB193" i="8"/>
  <c r="CA193" i="8"/>
  <c r="AU193" i="8" l="1"/>
  <c r="AS193" i="8"/>
  <c r="CC193" i="8"/>
  <c r="BX193" i="8"/>
  <c r="CD193" i="8" s="1"/>
  <c r="CE193" i="8" s="1"/>
  <c r="CF193" i="8" s="1"/>
  <c r="BV193" i="8"/>
  <c r="BU193" i="8"/>
  <c r="DE193" i="8"/>
  <c r="DC193" i="8"/>
  <c r="DF193" i="8"/>
  <c r="DD193" i="8" s="1"/>
  <c r="CG193" i="8" l="1"/>
  <c r="CH193" i="8" s="1"/>
  <c r="CO193" i="8" s="1"/>
  <c r="CP193" i="8" s="1"/>
  <c r="BW193" i="8"/>
  <c r="DG193" i="8"/>
  <c r="CS193" i="8" l="1"/>
  <c r="CR193" i="8"/>
  <c r="CQ193" i="8" l="1"/>
  <c r="CT193" i="8" s="1"/>
  <c r="BC193" i="8" s="1"/>
  <c r="BH193" i="8" s="1"/>
  <c r="BJ193" i="8" s="1"/>
  <c r="AI194" i="8" s="1"/>
  <c r="BB194" i="8" s="1"/>
  <c r="AN194" i="8"/>
  <c r="AR194" i="8" s="1"/>
  <c r="AX194" i="8"/>
  <c r="AK194" i="8" l="1"/>
  <c r="AL194" i="8" s="1"/>
  <c r="AM194" i="8" s="1"/>
  <c r="AO194" i="8" s="1"/>
  <c r="BA194" i="8"/>
  <c r="AC193" i="8"/>
  <c r="AB193" i="8"/>
  <c r="BI194" i="8" l="1"/>
  <c r="BG194" i="8"/>
  <c r="AV194" i="8"/>
  <c r="AP194" i="8"/>
  <c r="AQ194" i="8"/>
  <c r="AS194" i="8" l="1"/>
  <c r="AU194" i="8"/>
  <c r="AW195" i="8" l="1"/>
  <c r="AJ195" i="8" s="1"/>
  <c r="AH195" i="8" s="1"/>
  <c r="BD194" i="8"/>
  <c r="CA194" i="8" l="1"/>
  <c r="DB194" i="8"/>
  <c r="DC194" i="8" l="1"/>
  <c r="DE194" i="8"/>
  <c r="DF194" i="8"/>
  <c r="CC194" i="8"/>
  <c r="BU194" i="8"/>
  <c r="BX194" i="8"/>
  <c r="CD194" i="8" s="1"/>
  <c r="CE194" i="8" s="1"/>
  <c r="CF194" i="8" s="1"/>
  <c r="CG194" i="8" s="1"/>
  <c r="CH194" i="8" s="1"/>
  <c r="CO194" i="8" s="1"/>
  <c r="BV194" i="8"/>
  <c r="DD194" i="8" l="1"/>
  <c r="DG194" i="8" s="1"/>
  <c r="BW194" i="8"/>
  <c r="CR194" i="8"/>
  <c r="CS194" i="8"/>
  <c r="CP194" i="8"/>
  <c r="AN195" i="8"/>
  <c r="AR195" i="8" s="1"/>
  <c r="CQ194" i="8" l="1"/>
  <c r="CT194" i="8" s="1"/>
  <c r="BC194" i="8" s="1"/>
  <c r="BH194" i="8" s="1"/>
  <c r="BJ194" i="8" s="1"/>
  <c r="AI195" i="8" l="1"/>
  <c r="AK195" i="8" s="1"/>
  <c r="AL195" i="8" s="1"/>
  <c r="AC194" i="8"/>
  <c r="AB194" i="8"/>
  <c r="AX195" i="8"/>
  <c r="AV195" i="8" l="1"/>
  <c r="BB195" i="8"/>
  <c r="BG195" i="8" s="1"/>
  <c r="BA195" i="8"/>
  <c r="AM195" i="8"/>
  <c r="AO195" i="8" s="1"/>
  <c r="BI195" i="8"/>
  <c r="AQ195" i="8" l="1"/>
  <c r="AP195" i="8"/>
  <c r="BD195" i="8"/>
  <c r="DB195" i="8" s="1"/>
  <c r="AW196" i="8"/>
  <c r="AJ196" i="8" l="1"/>
  <c r="AH196" i="8" s="1"/>
  <c r="AS195" i="8"/>
  <c r="AU195" i="8"/>
  <c r="CA195" i="8"/>
  <c r="BU195" i="8" s="1"/>
  <c r="BX195" i="8"/>
  <c r="CD195" i="8" s="1"/>
  <c r="CE195" i="8" s="1"/>
  <c r="CF195" i="8" s="1"/>
  <c r="DC195" i="8"/>
  <c r="DE195" i="8"/>
  <c r="DF195" i="8"/>
  <c r="DD195" i="8" l="1"/>
  <c r="DG195" i="8" s="1"/>
  <c r="CC195" i="8"/>
  <c r="CG195" i="8" s="1"/>
  <c r="CH195" i="8" s="1"/>
  <c r="CO195" i="8" s="1"/>
  <c r="BV195" i="8"/>
  <c r="BW195" i="8" s="1"/>
  <c r="CS195" i="8" l="1"/>
  <c r="CR195" i="8"/>
  <c r="CP195" i="8"/>
  <c r="CQ195" i="8" l="1"/>
  <c r="CT195" i="8" s="1"/>
  <c r="BC195" i="8" s="1"/>
  <c r="BH195" i="8" s="1"/>
  <c r="BJ195" i="8" s="1"/>
  <c r="AI196" i="8" s="1"/>
  <c r="BB196" i="8" l="1"/>
  <c r="AK196" i="8"/>
  <c r="AL196" i="8" s="1"/>
  <c r="BA196" i="8"/>
  <c r="AC195" i="8"/>
  <c r="AB195" i="8"/>
  <c r="AN196" i="8"/>
  <c r="AR196" i="8" s="1"/>
  <c r="AV196" i="8" l="1"/>
  <c r="AM196" i="8"/>
  <c r="AO196" i="8" s="1"/>
  <c r="BI196" i="8"/>
  <c r="BG196" i="8"/>
  <c r="AQ196" i="8" l="1"/>
  <c r="AP196" i="8"/>
  <c r="AX196" i="8"/>
  <c r="AU196" i="8" l="1"/>
  <c r="AS196" i="8"/>
  <c r="AW197" i="8" l="1"/>
  <c r="AJ197" i="8" s="1"/>
  <c r="AH197" i="8" s="1"/>
  <c r="BD196" i="8"/>
  <c r="CA196" i="8" l="1"/>
  <c r="DB196" i="8"/>
  <c r="DC196" i="8" l="1"/>
  <c r="DF196" i="8"/>
  <c r="DE196" i="8"/>
  <c r="BV196" i="8"/>
  <c r="BX196" i="8"/>
  <c r="CD196" i="8" s="1"/>
  <c r="CE196" i="8" s="1"/>
  <c r="CF196" i="8" s="1"/>
  <c r="CC196" i="8"/>
  <c r="BU196" i="8"/>
  <c r="CG196" i="8" l="1"/>
  <c r="CH196" i="8" s="1"/>
  <c r="CO196" i="8" s="1"/>
  <c r="CR196" i="8" s="1"/>
  <c r="BW196" i="8"/>
  <c r="DD196" i="8"/>
  <c r="DG196" i="8" s="1"/>
  <c r="CP196" i="8" l="1"/>
  <c r="CS196" i="8"/>
  <c r="CQ196" i="8" s="1"/>
  <c r="CT196" i="8" s="1"/>
  <c r="BC196" i="8" s="1"/>
  <c r="BH196" i="8" s="1"/>
  <c r="BJ196" i="8" s="1"/>
  <c r="AI197" i="8" l="1"/>
  <c r="BB197" i="8" s="1"/>
  <c r="AB196" i="8"/>
  <c r="AC196" i="8"/>
  <c r="AN197" i="8"/>
  <c r="AR197" i="8" s="1"/>
  <c r="AK197" i="8" l="1"/>
  <c r="AV197" i="8" s="1"/>
  <c r="BA197" i="8"/>
  <c r="AL197" i="8" l="1"/>
  <c r="AM197" i="8" s="1"/>
  <c r="AO197" i="8" s="1"/>
  <c r="AX197" i="8"/>
  <c r="BG197" i="8" l="1"/>
  <c r="BI197" i="8"/>
  <c r="AP197" i="8"/>
  <c r="AQ197" i="8"/>
  <c r="AU197" i="8" s="1"/>
  <c r="AS197" i="8" l="1"/>
  <c r="BD197" i="8"/>
  <c r="CA197" i="8" s="1"/>
  <c r="AW198" i="8"/>
  <c r="AJ198" i="8" s="1"/>
  <c r="AH198" i="8" s="1"/>
  <c r="DB197" i="8" l="1"/>
  <c r="DE197" i="8" s="1"/>
  <c r="CC197" i="8"/>
  <c r="BV197" i="8"/>
  <c r="BX197" i="8"/>
  <c r="CD197" i="8" s="1"/>
  <c r="CE197" i="8" s="1"/>
  <c r="CF197" i="8" s="1"/>
  <c r="CG197" i="8" s="1"/>
  <c r="CH197" i="8" s="1"/>
  <c r="CO197" i="8" s="1"/>
  <c r="CP197" i="8" s="1"/>
  <c r="BU197" i="8"/>
  <c r="DF197" i="8" l="1"/>
  <c r="DD197" i="8" s="1"/>
  <c r="DG197" i="8" s="1"/>
  <c r="DC197" i="8"/>
  <c r="BW197" i="8"/>
  <c r="CS197" i="8"/>
  <c r="CR197" i="8"/>
  <c r="CQ197" i="8" l="1"/>
  <c r="CT197" i="8" s="1"/>
  <c r="BC197" i="8" s="1"/>
  <c r="BH197" i="8" s="1"/>
  <c r="BJ197" i="8" s="1"/>
  <c r="AI198" i="8" l="1"/>
  <c r="BB198" i="8" s="1"/>
  <c r="AB197" i="8"/>
  <c r="AC197" i="8"/>
  <c r="AK198" i="8" l="1"/>
  <c r="AL198" i="8" s="1"/>
  <c r="BA198" i="8"/>
  <c r="AN198" i="8"/>
  <c r="AR198" i="8" s="1"/>
  <c r="AV198" i="8" l="1"/>
  <c r="AM198" i="8"/>
  <c r="AO198" i="8" s="1"/>
  <c r="BI198" i="8"/>
  <c r="BG198" i="8"/>
  <c r="AQ198" i="8" l="1"/>
  <c r="AP198" i="8"/>
  <c r="AX198" i="8"/>
  <c r="AU198" i="8" l="1"/>
  <c r="AS198" i="8"/>
  <c r="BD198" i="8" l="1"/>
  <c r="CA198" i="8" s="1"/>
  <c r="AW199" i="8"/>
  <c r="AJ199" i="8" s="1"/>
  <c r="AH199" i="8" s="1"/>
  <c r="DB198" i="8" l="1"/>
  <c r="DC198" i="8" s="1"/>
  <c r="CC198" i="8"/>
  <c r="BU198" i="8"/>
  <c r="BV198" i="8"/>
  <c r="BX198" i="8"/>
  <c r="CD198" i="8" s="1"/>
  <c r="CE198" i="8" s="1"/>
  <c r="CF198" i="8" s="1"/>
  <c r="CG198" i="8" s="1"/>
  <c r="CH198" i="8" s="1"/>
  <c r="CO198" i="8" s="1"/>
  <c r="CS198" i="8" s="1"/>
  <c r="DF198" i="8" l="1"/>
  <c r="DE198" i="8"/>
  <c r="CR198" i="8"/>
  <c r="CQ198" i="8" s="1"/>
  <c r="CT198" i="8" s="1"/>
  <c r="BW198" i="8"/>
  <c r="CP198" i="8"/>
  <c r="DD198" i="8" l="1"/>
  <c r="DG198" i="8" s="1"/>
  <c r="BC198" i="8" s="1"/>
  <c r="BH198" i="8" s="1"/>
  <c r="BJ198" i="8" s="1"/>
  <c r="AI199" i="8" l="1"/>
  <c r="BA199" i="8" s="1"/>
  <c r="AC198" i="8"/>
  <c r="AB198" i="8"/>
  <c r="BB199" i="8" l="1"/>
  <c r="AK199" i="8"/>
  <c r="AL199" i="8" s="1"/>
  <c r="AN199" i="8"/>
  <c r="AR199" i="8" s="1"/>
  <c r="BG199" i="8" l="1"/>
  <c r="BI199" i="8"/>
  <c r="AM199" i="8"/>
  <c r="AV199" i="8"/>
  <c r="AO199" i="8" l="1"/>
  <c r="AP199" i="8" s="1"/>
  <c r="AX199" i="8"/>
  <c r="AQ199" i="8" l="1"/>
  <c r="AU199" i="8" s="1"/>
  <c r="BD199" i="8"/>
  <c r="CA199" i="8" s="1"/>
  <c r="AS199" i="8" l="1"/>
  <c r="DB199" i="8"/>
  <c r="DE199" i="8" s="1"/>
  <c r="BV199" i="8"/>
  <c r="CC199" i="8"/>
  <c r="BU199" i="8"/>
  <c r="BX199" i="8"/>
  <c r="CD199" i="8" l="1"/>
  <c r="CE199" i="8" s="1"/>
  <c r="CF199" i="8" s="1"/>
  <c r="CG199" i="8" s="1"/>
  <c r="CH199" i="8" s="1"/>
  <c r="CO199" i="8" s="1"/>
  <c r="DF199" i="8"/>
  <c r="DD199" i="8" s="1"/>
  <c r="DG199" i="8" s="1"/>
  <c r="DC199" i="8"/>
  <c r="BW199" i="8"/>
  <c r="CR199" i="8" l="1"/>
  <c r="CS199" i="8"/>
  <c r="CP199" i="8"/>
  <c r="CQ199" i="8" l="1"/>
  <c r="CT199" i="8" s="1"/>
  <c r="BC199" i="8" s="1"/>
  <c r="BH199" i="8" s="1"/>
  <c r="BJ199" i="8" s="1"/>
  <c r="AC199" i="8" l="1"/>
  <c r="H5" i="8" s="1"/>
  <c r="AB199" i="8"/>
  <c r="K5" i="8" s="1"/>
  <c r="FK99" i="8"/>
  <c r="DP99" i="8"/>
  <c r="FK103" i="8" l="1"/>
  <c r="DP103" i="8"/>
  <c r="FK82" i="8" l="1"/>
  <c r="DP82" i="8"/>
  <c r="EC82" i="8" s="1"/>
  <c r="EC83" i="8" s="1"/>
  <c r="EC84" i="8" s="1"/>
  <c r="EC85" i="8" s="1"/>
  <c r="EC86" i="8" s="1"/>
  <c r="EC87" i="8" s="1"/>
  <c r="EC88" i="8" s="1"/>
  <c r="EC89" i="8" s="1"/>
  <c r="EC90" i="8" s="1"/>
  <c r="EC91" i="8" s="1"/>
  <c r="EC92" i="8" s="1"/>
  <c r="DP97" i="8"/>
  <c r="FK97" i="8"/>
  <c r="DP101" i="8"/>
  <c r="FK101" i="8"/>
  <c r="DP93" i="8" l="1"/>
  <c r="EC93" i="8" s="1"/>
  <c r="EC94" i="8" s="1"/>
  <c r="EC95" i="8" s="1"/>
  <c r="EC96" i="8" s="1"/>
  <c r="EK94" i="8" s="1"/>
  <c r="EK91" i="8" s="1"/>
  <c r="EK92" i="8" s="1"/>
  <c r="EK93" i="8" s="1"/>
  <c r="FK93" i="8"/>
  <c r="DP98" i="8" l="1"/>
  <c r="EK95" i="8"/>
  <c r="FK98" i="8"/>
  <c r="EC97" i="8"/>
  <c r="EC98" i="8" l="1"/>
  <c r="EC99" i="8" s="1"/>
  <c r="EC100" i="8" s="1"/>
  <c r="EC101" i="8" s="1"/>
  <c r="EC102" i="8" s="1"/>
  <c r="EC103" i="8" s="1"/>
  <c r="EC104" i="8" s="1"/>
  <c r="EC105" i="8" s="1"/>
  <c r="EC106" i="8" s="1"/>
  <c r="EC107" i="8" s="1"/>
  <c r="EC108" i="8" s="1"/>
  <c r="EC109" i="8" s="1"/>
  <c r="EC110" i="8" s="1"/>
  <c r="EC111" i="8" s="1"/>
  <c r="EC112" i="8" s="1"/>
  <c r="EC113" i="8" s="1"/>
  <c r="EC114" i="8" s="1"/>
  <c r="EC115" i="8" s="1"/>
  <c r="EC116" i="8" s="1"/>
  <c r="EC117" i="8" s="1"/>
  <c r="EC118" i="8" s="1"/>
  <c r="EC119" i="8" s="1"/>
  <c r="EC120" i="8" s="1"/>
  <c r="EC121" i="8" s="1"/>
  <c r="EC122" i="8" s="1"/>
  <c r="EC123" i="8" s="1"/>
  <c r="EC124" i="8" s="1"/>
  <c r="EC125" i="8" s="1"/>
  <c r="EC126" i="8" s="1"/>
  <c r="EC127" i="8" s="1"/>
  <c r="EC128" i="8" s="1"/>
  <c r="EC129" i="8" s="1"/>
  <c r="EC130" i="8" s="1"/>
  <c r="EC131" i="8" s="1"/>
  <c r="EC132" i="8" s="1"/>
  <c r="EC133" i="8" s="1"/>
  <c r="EC134" i="8" s="1"/>
  <c r="EC135" i="8" s="1"/>
  <c r="EC136" i="8" s="1"/>
  <c r="EC137" i="8" s="1"/>
  <c r="EC138" i="8" s="1"/>
  <c r="EC139" i="8" s="1"/>
  <c r="EC140" i="8" s="1"/>
  <c r="EC141" i="8" s="1"/>
  <c r="EC142" i="8" s="1"/>
  <c r="EC143" i="8" s="1"/>
  <c r="EC144" i="8" s="1"/>
  <c r="EC145" i="8" s="1"/>
  <c r="EC146" i="8" s="1"/>
  <c r="EC147" i="8" s="1"/>
  <c r="EC148" i="8" s="1"/>
  <c r="EC149" i="8" s="1"/>
  <c r="EC150" i="8" s="1"/>
  <c r="EC151" i="8" s="1"/>
  <c r="EC152" i="8" s="1"/>
  <c r="EC153" i="8" s="1"/>
  <c r="EC154" i="8" s="1"/>
  <c r="EC155" i="8" s="1"/>
  <c r="EC156" i="8" s="1"/>
  <c r="EC157" i="8" s="1"/>
  <c r="EC158" i="8" s="1"/>
  <c r="EC159" i="8" s="1"/>
  <c r="EC160" i="8" s="1"/>
  <c r="EC161" i="8" s="1"/>
  <c r="EC162" i="8" s="1"/>
  <c r="EC163" i="8" s="1"/>
  <c r="EC164" i="8" s="1"/>
  <c r="EC165" i="8" s="1"/>
  <c r="EC166" i="8" s="1"/>
  <c r="EC167" i="8" s="1"/>
  <c r="EC168" i="8" s="1"/>
  <c r="EC169" i="8" s="1"/>
  <c r="EC170" i="8" s="1"/>
  <c r="EC171" i="8" s="1"/>
  <c r="EC172" i="8" s="1"/>
  <c r="EC173" i="8" s="1"/>
  <c r="EC174" i="8" s="1"/>
  <c r="EC175" i="8" s="1"/>
  <c r="EC176" i="8" s="1"/>
  <c r="EC177" i="8" s="1"/>
  <c r="EC178" i="8" s="1"/>
  <c r="EC179" i="8" s="1"/>
</calcChain>
</file>

<file path=xl/comments1.xml><?xml version="1.0" encoding="utf-8"?>
<comments xmlns="http://schemas.openxmlformats.org/spreadsheetml/2006/main">
  <authors>
    <author>Clemens</author>
  </authors>
  <commentList>
    <comment ref="C19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1-2%</t>
        </r>
      </text>
    </comment>
    <comment ref="C21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3-8%</t>
        </r>
      </text>
    </comment>
    <comment ref="C37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2-3%</t>
        </r>
      </text>
    </comment>
    <comment ref="C38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2,5-4%</t>
        </r>
      </text>
    </comment>
    <comment ref="C41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19%</t>
        </r>
      </text>
    </comment>
    <comment ref="C42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2021: 2400€</t>
        </r>
      </text>
    </comment>
    <comment ref="C43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2021: 10800€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1-3%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26,37%-27,99%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2021: 801€</t>
        </r>
      </text>
    </comment>
    <comment ref="C48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variiert pro Jahr; aktuell 2020 = 0,070%</t>
        </r>
      </text>
    </comment>
    <comment ref="C49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für Aktienfonds in 2021: 70%</t>
        </r>
      </text>
    </comment>
    <comment ref="C51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2022: 9984€</t>
        </r>
      </text>
    </comment>
    <comment ref="C52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2022: 14%</t>
        </r>
      </text>
    </comment>
    <comment ref="C53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2022: 14926€</t>
        </r>
      </text>
    </comment>
    <comment ref="C54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2022: 24%</t>
        </r>
      </text>
    </comment>
    <comment ref="C55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2022: 58596€</t>
        </r>
      </text>
    </comment>
    <comment ref="C56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2022: 42%</t>
        </r>
      </text>
    </comment>
    <comment ref="C57" authorId="0" shapeId="0">
      <text>
        <r>
          <rPr>
            <b/>
            <sz val="9"/>
            <color indexed="81"/>
            <rFont val="Segoe UI"/>
            <family val="2"/>
          </rPr>
          <t>Clemens:</t>
        </r>
        <r>
          <rPr>
            <sz val="9"/>
            <color indexed="81"/>
            <rFont val="Segoe UI"/>
            <family val="2"/>
          </rPr>
          <t xml:space="preserve">
Richtwert: 1-3%</t>
        </r>
      </text>
    </comment>
  </commentList>
</comments>
</file>

<file path=xl/sharedStrings.xml><?xml version="1.0" encoding="utf-8"?>
<sst xmlns="http://schemas.openxmlformats.org/spreadsheetml/2006/main" count="356" uniqueCount="219">
  <si>
    <t>Jahr</t>
  </si>
  <si>
    <t>Wiederanlegbar</t>
  </si>
  <si>
    <t>Steuer</t>
  </si>
  <si>
    <t>Zu verrechnende
Vorabpauschale</t>
  </si>
  <si>
    <t>Basisertrag</t>
  </si>
  <si>
    <t>Thesaurierer</t>
  </si>
  <si>
    <t>Depot inkl. Rendite</t>
  </si>
  <si>
    <t>Vorabpauschale</t>
  </si>
  <si>
    <t>Steuern
Vorabpauschale</t>
  </si>
  <si>
    <t>Steuern
Ausschüttungen</t>
  </si>
  <si>
    <t>Startwert Depot [€]</t>
  </si>
  <si>
    <t>Freibetrag [€]</t>
  </si>
  <si>
    <t>Anlagehorizont [Jahre]</t>
  </si>
  <si>
    <t>Rendite p.a. [%] nach Steuern</t>
  </si>
  <si>
    <t>RENDITE GESAMT MIT STEUER</t>
  </si>
  <si>
    <t>Kumulierte Einzahlungen</t>
  </si>
  <si>
    <t>INVESTIERTES KAPITAL</t>
  </si>
  <si>
    <t>Depotwert vor Kurssteigerung</t>
  </si>
  <si>
    <t>Casheinlage</t>
  </si>
  <si>
    <t>Einlage (inkl. Wiederanlegbarer Ausschüttung abzgl. Steuer)</t>
  </si>
  <si>
    <t>Investierte Gesamtsumme
inkl. Ausschüttungen</t>
  </si>
  <si>
    <t>Kumulierte Einzahlungen ohne Ausschüttungen</t>
  </si>
  <si>
    <t>Wertentwicklung des Depots</t>
  </si>
  <si>
    <t>Obergrenze
Vorabpauschale bzw. Basisertrag</t>
  </si>
  <si>
    <t>Ausschüttung der Depotanteile</t>
  </si>
  <si>
    <t>Vorabpauschale bei positiver Depotentwicklung (negativ =&gt; 0 ; nur bei Thesaurierern!)</t>
  </si>
  <si>
    <t>Zu verrechnende Vorabpauschale (nur bei Thesaurierern!)</t>
  </si>
  <si>
    <t>zu bezahlende Steuer (Komplettverkauf)</t>
  </si>
  <si>
    <t>Endvermögen nach Steuer</t>
  </si>
  <si>
    <t>End-Depotwert vor Steuer</t>
  </si>
  <si>
    <t>Teilfreistellung</t>
  </si>
  <si>
    <t>Rendite p.a.</t>
  </si>
  <si>
    <t>Ausschüttungsrendite p.a.</t>
  </si>
  <si>
    <t>Basiszins</t>
  </si>
  <si>
    <t>zu versteuernder Gewinn bei Verkauf</t>
  </si>
  <si>
    <t>JA</t>
  </si>
  <si>
    <t>NEIN</t>
  </si>
  <si>
    <t>Steuer auf die Vorabpauschale</t>
  </si>
  <si>
    <t>Depotwert inkl. Rendite und Ausschüttungs-Wiederanlage</t>
  </si>
  <si>
    <t>Umsteigefaktor (prozentuale Ausnutzung des Freibetrags)</t>
  </si>
  <si>
    <t>Überschreitung des Freibetrags in % = für Ausstiegszeitpunkt der Ausschütter-Besparung</t>
  </si>
  <si>
    <t>JAHR DES WECHSELS:</t>
  </si>
  <si>
    <t>Kumulierte bzeahlte Steuern auf ReinvestitionenSteuern</t>
  </si>
  <si>
    <t>INVESTIERTES KAPITAL AUS SPARRATE</t>
  </si>
  <si>
    <t>INVESTIERTES KAPITAL AUS REINVESTIERTE AUSSCHÜTTUNGEN</t>
  </si>
  <si>
    <t>Einzahlungen aus Dividenden pro Jahr</t>
  </si>
  <si>
    <t>Einzahlungen aus Dividenden Kumuliert</t>
  </si>
  <si>
    <t>INVESTIERTES KAPITAL AUS REINVESTIERTE AUSSCHÜTTUNGEN IN THESAURIERER</t>
  </si>
  <si>
    <t>INVESTIERTES KAPITAL AUS REINVESTIERTE AUSSCHÜTTUNGEN IN AUSSCHÜTTER</t>
  </si>
  <si>
    <t>Einzahlungen aus Dividenden pro Jahr (in Ausschütter bzw Thesaurierer reinvestiert)</t>
  </si>
  <si>
    <t>INVESTIERTES KAPITAL AUS SPARRATE (nicht zu versteuern)</t>
  </si>
  <si>
    <t>INVESTIERTES KAPITAL AUS REINVESTIERTEN AUSSCHÜTTUNGEN IN DEN THESAURIERER (nicht zu versteuern)</t>
  </si>
  <si>
    <t>Einzahlungen aus Dividenden Kumuliert (sowohl in Ausschütter als auch Thesaurierer)</t>
  </si>
  <si>
    <t>Einzahlungen aus Dividenden pro Jahr (-&gt; in Ausschütter reinvestiert!!)</t>
  </si>
  <si>
    <t>Kumulierte Einzahlungen aus Dividenden pro Jahr (-&gt; in Ausschütter reinvestiert!!)</t>
  </si>
  <si>
    <t>Umsteigezeitpunkt bei KOMBI-Variante (%-Ausnutzung des Freibetrags vor Wechsel auf Thes.)</t>
  </si>
  <si>
    <t>COPYRIGHT GELDFAKTEN.COM - 2021 bis heute</t>
  </si>
  <si>
    <t>STARTBEDINGUNGEN</t>
  </si>
  <si>
    <t>GEBURTSJAHR</t>
  </si>
  <si>
    <t>ALTER zum Zeitpunkt des Startjahrs</t>
  </si>
  <si>
    <t>STARTJAHR BERECHNUNG</t>
  </si>
  <si>
    <t>FRÜHRENTE beginnt im Jahr…</t>
  </si>
  <si>
    <t>ALTER zum Zeitpunkt der Rente</t>
  </si>
  <si>
    <t>Sparquote (im Startjahr; Informationswert)</t>
  </si>
  <si>
    <t>Startkapital im Startjahr</t>
  </si>
  <si>
    <t>ZUSATZRENTEN</t>
  </si>
  <si>
    <t>GESETZL. RENTE pro Monat (BRUTTO ; z.B: gesetzl. Rente)</t>
  </si>
  <si>
    <t>BEGINN MIT ALTER…</t>
  </si>
  <si>
    <t>Steuerabzug gesetzl. Rente</t>
  </si>
  <si>
    <t>ZUSATZRENTE pro Monat (BRUTTO ; z.B: Riester-Rente)</t>
  </si>
  <si>
    <t>Beginn mit…</t>
  </si>
  <si>
    <t>Steuerabzug Zusatzrente</t>
  </si>
  <si>
    <t>KV+PV Abzug von Renten &amp; Kapitalerträgen bei Frührente</t>
  </si>
  <si>
    <t>Alter</t>
  </si>
  <si>
    <t>NETTO Gehalt</t>
  </si>
  <si>
    <t>AUSGABEN, Inflationiert vom Startjahr aus</t>
  </si>
  <si>
    <t>KV Beitrag - auch auf Entnahmerate &amp; Zinsgewinne</t>
  </si>
  <si>
    <t>Gesamtkosten / Jahr</t>
  </si>
  <si>
    <t>ANNAHMEN "KRANKENVERSICHERUNGS-KOSTEN AB ENTNAHMEJAHR"</t>
  </si>
  <si>
    <t>THESAURIERER</t>
  </si>
  <si>
    <t>AUSSCHÜTTER</t>
  </si>
  <si>
    <t>KOMBIAUSSCHÜTTER</t>
  </si>
  <si>
    <t>KOMBITHESAURIERER</t>
  </si>
  <si>
    <t>Erhöhung des Grundfreibetrag</t>
  </si>
  <si>
    <t>Kapitalertragssteuer</t>
  </si>
  <si>
    <t>Ausschütter</t>
  </si>
  <si>
    <t>EINTRÄGE NICHT ÄNDERN!</t>
  </si>
  <si>
    <t>VERMÖGENSKURVE</t>
  </si>
  <si>
    <t>Nebenrechnungen</t>
  </si>
  <si>
    <t>Start-Sparrate p.a. [€]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</si>
  <si>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</si>
  <si>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</si>
  <si>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</si>
  <si>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</si>
  <si>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</si>
  <si>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</si>
  <si>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</si>
  <si>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</si>
  <si>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</si>
  <si>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</si>
  <si>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</si>
  <si>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</si>
  <si>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</si>
  <si>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</si>
  <si>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</si>
  <si>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</si>
  <si>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</si>
  <si>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</si>
  <si>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</si>
  <si>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</si>
  <si>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WENN(Übersicht!$G$12=0;Thesaurierer!L4;WENN(A4&lt;=KOMBI_Aus!$W$21;0;(A4-KOMBI_Aus!$W$21)*$P$4))</t>
  </si>
  <si>
    <t>KOMBIVERMÖGEN</t>
  </si>
  <si>
    <t>Pro Jahr investierte Sparrate (Einkommen minus Ausgaben)</t>
  </si>
  <si>
    <t>Rendite</t>
  </si>
  <si>
    <t>Investierte Gesamtsumme
inkl. Ausschüttungen / Selbst Angespartes Kapital aus "Cash"-Einzahlungen (Sparraten plus versteuerte Dividenden)</t>
  </si>
  <si>
    <t>Eingezahltes Kapital Kumuliert</t>
  </si>
  <si>
    <t>geschätzter zukünftiger Grundfreibetrag (darunter 0% Grenzsteuersatz)</t>
  </si>
  <si>
    <t>geschätzter zukünftiger 2. Stufe für Grenzsteuersatz bei ca. 42% (24% bis ca. 42%)</t>
  </si>
  <si>
    <t>geschätzter zukünftiger 1. Stufe für Grenzsteuersatz bis ca. 24% (0% bis ca. 24%)</t>
  </si>
  <si>
    <t>QUELLE: https://www.lohn-info.de/durchschnittssteuersatz_grenzsteuersatz.html</t>
  </si>
  <si>
    <t>Zu verst.­Eink.</t>
  </si>
  <si>
    <t>Einkom­men­steuer</t>
  </si>
  <si>
    <t>Durch­schn. Steuer­satz</t>
  </si>
  <si>
    <t>Grenz­steuer­satz</t>
  </si>
  <si>
    <t>geschätzter resultierender Grenzsteuersatz</t>
  </si>
  <si>
    <t>Günstigerprüfung wirksam?</t>
  </si>
  <si>
    <t>Tatsächliche Einzahlungen aus Dividenden pro Jahr (Ab Entnahmejahr verkonsumiert)</t>
  </si>
  <si>
    <t>resultierende Steuer auf Depot-Entnahmen (MIT ODER OHNE LIFO-OPTIMIERUNG)</t>
  </si>
  <si>
    <t>--&gt; Grenzsteuersätze aus Eingabe</t>
  </si>
  <si>
    <t>b)</t>
  </si>
  <si>
    <t>von 9.985 Euro bis 14.926 Euro</t>
  </si>
  <si>
    <t>ESt = (1.008,70 * y + 1.400) * y</t>
  </si>
  <si>
    <t>y = (zvE - 9.984) / 10.000</t>
  </si>
  <si>
    <t>c)</t>
  </si>
  <si>
    <t>von 14.927 Euro bis 58.596 Euro</t>
  </si>
  <si>
    <t>ESt = (206,43 * z + 2.397) * z + 938,24</t>
  </si>
  <si>
    <t>z = (zvE - 14.926) / 10.000</t>
  </si>
  <si>
    <t>d)</t>
  </si>
  <si>
    <t>von 58.597 Euro bis 277.825 Euro</t>
  </si>
  <si>
    <t>ESt = 0,42 * zvE - 9.267,53</t>
  </si>
  <si>
    <t>Zu versteuerndes Einkommen aus Entnahmen (exklusive des Arbeitseinkommens und der bereits mit Kapitalertragssteuer versteuerten Dividenden)</t>
  </si>
  <si>
    <t>STEUER VOR GÜNSTIGERPRÜFUNG (=NORMALE KAPITALERTRAGSSTEUER AUF GESAMTE ENTNAHME)</t>
  </si>
  <si>
    <t>STEUER NACH GÜNSTIGERPRÜFUNG = NACH EINKOMMENSSTEUERRECHT (FORMELN VON 2022,SIEHE OBEN)</t>
  </si>
  <si>
    <t>resultierende Steuer auf Depot-Entnahmen (OHNE LIFO-OPTIMIERUNG, GGFLS. MIT GÜNSTIGERPRÜFUNG)</t>
  </si>
  <si>
    <t>GEWINNANTEIL DER ENTNAHME VON EINGEZAHLTEM KAPITAL (nur dieser Anteil ist zu versteuern bei absolut optimaler LIFO-Entnahme, bis eingezahltes Kapital verbraucht ist; in Ansparphase = 0%; ab Verbrauch des eingezahlten Kapitals 100%))</t>
  </si>
  <si>
    <t>kumuliertes Eingezahltes Kapital minus geschätzter "Einzahlungs"-Anteil der getätigten Entnahmen</t>
  </si>
  <si>
    <t>kumulierter geschätzter "Einzahlungs"-Anteil der getätigten Entnahmen</t>
  </si>
  <si>
    <t>GESETZL. RENTE inklusive Abzüge</t>
  </si>
  <si>
    <t>ZUSATZ-RENTE inklusive Abzüge</t>
  </si>
  <si>
    <t>Für Konsum genutzte Dividende</t>
  </si>
  <si>
    <t>VERMÖGEN AM ENDE DES JAHRES</t>
  </si>
  <si>
    <t>Tatsächliche Entnahme (Maximum aus SWR bzw. jährl. Ausgaben ; NETTO-DIVIDENDEN BEREITS BERÜCKSICHTIGT!)</t>
  </si>
  <si>
    <t xml:space="preserve">Geschätzter GewinnAnteil der Entnahme bei "LIFO-optimierten" Verkäufen </t>
  </si>
  <si>
    <t>KUMULIERTE ENTNAHMEN AB ENTNAHMEJAHR (NETTO-DIVIDENDEN BEREITS EXKLUDIERT)</t>
  </si>
  <si>
    <t>geschätzter Eigen-Cash-Entnahme-Anteil der Entnahme (Keine Gewinnanteile)</t>
  </si>
  <si>
    <t>Gemittelte Einzahlung pro Jahr für LIFO-Ermittlung (inkl. Dividenden-Reinvest)</t>
  </si>
  <si>
    <t>MSCI WORLD</t>
  </si>
  <si>
    <t>JAHR</t>
  </si>
  <si>
    <t>RENDITE</t>
  </si>
  <si>
    <t>QUELLE: Wikipedia / MSCI</t>
  </si>
  <si>
    <t>STARTJAHR IM RECHNER</t>
  </si>
  <si>
    <t>RENDITEN FÜR RECHNER</t>
  </si>
  <si>
    <t>FÜR BERECHNUNGEN</t>
  </si>
  <si>
    <t>ZUFALLSRENDITEN</t>
  </si>
  <si>
    <t>LEBENSSTIL-ENTNAHME (=ENTNAHME OHNE DIVIDENDEN-BERÜCKSICHTIGUNG, aus Entnahmerate oder Ausgaben ermittelt)</t>
  </si>
  <si>
    <t>Wertentwicklung des Anteils bis zum Entnahmestart (abzüglich Kapitalertragssteuer)</t>
  </si>
  <si>
    <t>geschätzte Mindest-Ansparjahre bis zur frühesten Entnahme</t>
  </si>
  <si>
    <t>Gewinnanteil bei Komplettverkauf der Anteile bis zum Entnahmejahr</t>
  </si>
  <si>
    <t>REIHENFOLGE</t>
  </si>
  <si>
    <t>Überschüsse aus nicht verkauften Anteilen</t>
  </si>
  <si>
    <t>HILFSREIHENFOLGE</t>
  </si>
  <si>
    <t>Eingezahltes Kapital</t>
  </si>
  <si>
    <t xml:space="preserve">GEWINNANTEILE IM ENTNAHMEJAHR </t>
  </si>
  <si>
    <t>Zu berücksichtigende Einzahlung</t>
  </si>
  <si>
    <t>Davon Rest-Cash</t>
  </si>
  <si>
    <t>Davon Rest-Gewinne</t>
  </si>
  <si>
    <t>Ursprünglicher Gewinnanteil</t>
  </si>
  <si>
    <t>Neu ermittelter Gewinnanteil</t>
  </si>
  <si>
    <t>NORMALSTEUER AUS GRUNDFREIBETRAG &amp; GÜNSTIGERPRÜFUNG 
1. ANNAHME: "VOLLZEIT-FIRE" = ARBEITSLOSIGKEIT = LEBEN VON KAPITALERTRÄGEN ; 
2. ANNAHME: KEINE EINZAHLUNGEN BERÜCKSICHTIGT!</t>
  </si>
  <si>
    <t>FIFO-Umgehung / LIFO-OPTIMIERUNG 
1. ANNAHME: "VOLLZEIT-FIRE" = ARBEITSLOSIGKEIT = LEBEN VON KAPITALERTRÄGEN
2. ANNAHME ZUR VEREINFACHUNG: EINZAHLUNGSKAPITAL WIRD ZU BEGINN VOLL VERBRAUCHT - danach sind alle Entnahmen zu 100% bestehend aus Kursgewinnen und zu 100% zu versteuern</t>
  </si>
  <si>
    <t>Erhaltene Netto-Dividende: Wiederanlegbar oder verkonsumierbar</t>
  </si>
  <si>
    <t>Geschätztes LIFO-optimiertes zu versteuerndes Einkommen aus Entnahmen (Annahme: KEIN WEITERES Arbeitseinkommen und Dividenden bereits mittels Kapitalertragssteuer versteuert)</t>
  </si>
  <si>
    <t>ENTNAHMEN AB ENTNAHMEJAHR (NETTO-DIVIDENDEN, welche für Konsum genutzt werden, BEREITS VERRECHNET)</t>
  </si>
  <si>
    <t>ENTNAHME von eingezahltem Kapital per "optimalem LiFO" MÖGLICH? = MÖGLICHST STEUEROPTIMIERTE ENTNAHME DURCH IDEALEN ANTEILSVERKAUF</t>
  </si>
  <si>
    <t>Gesamteinnahmen / Jahr</t>
  </si>
  <si>
    <t>Hilfsrechnung Cashentnahme</t>
  </si>
  <si>
    <t>EINKOMMENSSTEIGERUNG UND RENDITE</t>
  </si>
  <si>
    <t>INFLATION &amp; ENTNAHMERATE</t>
  </si>
  <si>
    <t>ANLAGESTIL</t>
  </si>
  <si>
    <t>Thesaurierende oder ausschüttende ETFs/Aktien?</t>
  </si>
  <si>
    <t>Minimaler KV-Abzug pro Jahr während der Entsparphase (Richtwert 2021: 12 x 200€)</t>
  </si>
  <si>
    <t>Maximaler KV-Abzug pro Jahr während der Entsparphase (Richtwert 2021: 12 x 900€)</t>
  </si>
  <si>
    <t>Angenommene jährliche Steigerung der Grenzwerte pro Jahr</t>
  </si>
  <si>
    <t>Einkommenssteuer: Jährliche Steigerung des Grundfreibetrags &amp; der anderen Freibeträge (geschätzt ca. 2-3%)</t>
  </si>
  <si>
    <t>Vorabpauschale: Basiszins</t>
  </si>
  <si>
    <t>Vorabpauschale: Teilfreistellung</t>
  </si>
  <si>
    <t>Steuerfreibetrag</t>
  </si>
  <si>
    <t>--&gt; Zugehöriger Steuergrenzsatz</t>
  </si>
  <si>
    <t>STEUERBELASTUNG KAPITALERTRÄGE UND EINKOMMENSSTEUER</t>
  </si>
  <si>
    <t>Inflation der Ausgaben pro Jahr</t>
  </si>
  <si>
    <t>PLEITEJAHR</t>
  </si>
  <si>
    <t>PLEITEALTER</t>
  </si>
  <si>
    <t>JAHRE</t>
  </si>
  <si>
    <t>Alle Berechnungen und Angaben ohne Gewähr.
Bei Fragen oder Anregungen wende dich an: kontakt@geldfakten.com</t>
  </si>
  <si>
    <r>
      <t>Ausgaben pro JAHR (im Startjahr)</t>
    </r>
    <r>
      <rPr>
        <sz val="8"/>
        <color rgb="FF000000"/>
        <rFont val="Arial"/>
        <family val="2"/>
      </rPr>
      <t>; wird durch Inflationsrate jährlich angepasst &amp; höher</t>
    </r>
  </si>
  <si>
    <r>
      <t xml:space="preserve">Nettoeinkommen pro Jahr (im Startjahr) </t>
    </r>
    <r>
      <rPr>
        <sz val="8"/>
        <color rgb="FF000000"/>
        <rFont val="Arial"/>
        <family val="2"/>
      </rPr>
      <t>; wird durch Einkommenssteigerungsrate jährlich angepasst &amp; höher</t>
    </r>
  </si>
  <si>
    <r>
      <t>Steigerung Einkommen pro Jahr in Ansparphase</t>
    </r>
    <r>
      <rPr>
        <sz val="8"/>
        <color rgb="FF000000"/>
        <rFont val="Arial"/>
        <family val="2"/>
      </rPr>
      <t xml:space="preserve"> (z.B. Gehaltsverhandlungen)</t>
    </r>
  </si>
  <si>
    <r>
      <t>Historische Jahres-Renditen des MSCI WORLD anwenden?</t>
    </r>
    <r>
      <rPr>
        <sz val="8"/>
        <color theme="1"/>
        <rFont val="Calibri"/>
        <family val="2"/>
        <scheme val="minor"/>
      </rPr>
      <t xml:space="preserve"> (von 1970-2021, ab 2022 wiederholend)</t>
    </r>
  </si>
  <si>
    <r>
      <t xml:space="preserve">BRUTTO-Rendite Gesamtportfolio </t>
    </r>
    <r>
      <rPr>
        <sz val="8"/>
        <color rgb="FF000000"/>
        <rFont val="Arial"/>
        <family val="2"/>
      </rPr>
      <t>(VOR Steuerabzug; fixe Rendite)</t>
    </r>
  </si>
  <si>
    <r>
      <t xml:space="preserve">Ausschüttungsrendite p.a. </t>
    </r>
    <r>
      <rPr>
        <sz val="8"/>
        <color theme="1"/>
        <rFont val="Calibri"/>
        <family val="2"/>
        <scheme val="minor"/>
      </rPr>
      <t>(bei Ausschüttenden ETFs; inkludiert in obiger Rendite)</t>
    </r>
  </si>
  <si>
    <r>
      <t xml:space="preserve">AUSSCHÜTTUNGEN WERDEN WIEDERANGELEGT? 
</t>
    </r>
    <r>
      <rPr>
        <sz val="8"/>
        <color theme="1"/>
        <rFont val="Calibri"/>
        <family val="2"/>
        <scheme val="minor"/>
      </rPr>
      <t>(Nein: Dividenden in Ansparphase zusätzlich verkonsumiert, in Entnahmephase mit Ausgaben verrechnet)</t>
    </r>
  </si>
  <si>
    <r>
      <rPr>
        <b/>
        <sz val="8"/>
        <color theme="9" tint="-0.249977111117893"/>
        <rFont val="Calibri"/>
        <family val="2"/>
        <scheme val="minor"/>
      </rPr>
      <t>STEUEROPTIMIERUNG:</t>
    </r>
    <r>
      <rPr>
        <b/>
        <sz val="8"/>
        <color theme="1"/>
        <rFont val="Calibri"/>
        <family val="2"/>
        <scheme val="minor"/>
      </rPr>
      <t xml:space="preserve"> OPTIMIERTES "LIFO" BERÜCKSICHTIGEN? </t>
    </r>
    <r>
      <rPr>
        <sz val="8"/>
        <color theme="1"/>
        <rFont val="Calibri"/>
        <family val="2"/>
        <scheme val="minor"/>
      </rPr>
      <t xml:space="preserve"> 
(FIFO-UMGEHUNG mittels geschickter Kursgewinnleiter / Verkaufstaktik)</t>
    </r>
  </si>
  <si>
    <r>
      <rPr>
        <b/>
        <sz val="8"/>
        <color rgb="FF000000"/>
        <rFont val="Calibri"/>
        <family val="2"/>
        <scheme val="minor"/>
      </rPr>
      <t xml:space="preserve">-&gt; Dabei zufällige historische Renditen des MSCI WORLD anwenden? </t>
    </r>
    <r>
      <rPr>
        <sz val="8"/>
        <color theme="1"/>
        <rFont val="Calibri"/>
        <family val="2"/>
        <scheme val="minor"/>
      </rPr>
      <t>(F9 für neues Szenario)</t>
    </r>
  </si>
  <si>
    <r>
      <rPr>
        <b/>
        <sz val="8"/>
        <color rgb="FF000000"/>
        <rFont val="Calibri"/>
        <family val="2"/>
        <scheme val="minor"/>
      </rPr>
      <t>-&gt; Oder das Startjahr XXXX  ?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(zwischen 1970 und 2021, Wiederholung der Renditen ab Jahr 2022)</t>
    </r>
  </si>
  <si>
    <r>
      <rPr>
        <b/>
        <sz val="8"/>
        <color rgb="FF000000"/>
        <rFont val="Arial"/>
        <family val="2"/>
      </rPr>
      <t>Entnahmerate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aus Portfolio in Entnahmephase</t>
    </r>
    <r>
      <rPr>
        <sz val="8"/>
        <color rgb="FF000000"/>
        <rFont val="Arial"/>
        <family val="2"/>
      </rPr>
      <t xml:space="preserve"> (Achtung: inflationsangepasste Ausgaben aus Jahr 1 werden immer als Mindestbetrag entnommen, auch bei 0%  Entnahmerate = Abdeckung des Lebensstandards!)</t>
    </r>
  </si>
  <si>
    <r>
      <rPr>
        <b/>
        <sz val="8"/>
        <color theme="9" tint="-0.249977111117893"/>
        <rFont val="Arial"/>
        <family val="2"/>
      </rPr>
      <t>STEUEROPTIMIERUNG:</t>
    </r>
    <r>
      <rPr>
        <b/>
        <sz val="8"/>
        <color theme="1"/>
        <rFont val="Arial"/>
        <family val="2"/>
      </rPr>
      <t xml:space="preserve"> GÜNSTIGERPRÜFUNG IN ENTNAHMEPHASE BERÜCKSICHTIGEN? 
</t>
    </r>
    <r>
      <rPr>
        <sz val="8"/>
        <color theme="1"/>
        <rFont val="Arial"/>
        <family val="2"/>
      </rPr>
      <t>(Nein: Versteuerung mit Kapitalertragssteuer | Ja: Versteuerung mit Einkommenssteuer oder Kapitalertragssteuer)</t>
    </r>
  </si>
  <si>
    <r>
      <t xml:space="preserve">Einkommenssteuer: Grundfreibetrag im Startjahr </t>
    </r>
    <r>
      <rPr>
        <sz val="8"/>
        <color rgb="FF000000"/>
        <rFont val="Arial"/>
        <family val="2"/>
      </rPr>
      <t>(2022: 14% ab dieser Stufe; 2022: 9744€)</t>
    </r>
  </si>
  <si>
    <r>
      <t xml:space="preserve">Einkommenssteuer: 1. Stufe für Grenzsteuersatz  + Steuergrenzsatz </t>
    </r>
    <r>
      <rPr>
        <sz val="8"/>
        <color rgb="FF000000"/>
        <rFont val="Arial"/>
        <family val="2"/>
      </rPr>
      <t>(2022: 24% ab dieser Summe)</t>
    </r>
  </si>
  <si>
    <r>
      <t xml:space="preserve">Einkommenssteuer: 2. Stufe für Grenzsteuersatz  + Steuergrenzsatz </t>
    </r>
    <r>
      <rPr>
        <sz val="8"/>
        <color rgb="FF000000"/>
        <rFont val="Arial"/>
        <family val="2"/>
      </rPr>
      <t>(2022: 24% bis ca. 42%)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</si>
</sst>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0.000%"/>
    <numFmt numFmtId="165" formatCode="0.0%"/>
    <numFmt numFmtId="166" formatCode="_-* #,##0\ &quot;€&quot;_-;\-* #,##0\ &quot;€&quot;_-;_-* &quot;-&quot;???\ &quot;€&quot;_-;_-@_-"/>
    <numFmt numFmtId="167" formatCode="_-* #,##0\ &quot;€&quot;_-;\-* #,##0\ &quot;€&quot;_-;_-* &quot;-&quot;??\ &quot;€&quot;_-;_-@_-"/>
    <numFmt numFmtId="168" formatCode="_-* #,##0\ [$€-407]_-;\-* #,##0\ [$€-407]_-;_-* &quot;-&quot;??\ [$€-407]_-;_-@_-"/>
    <numFmt numFmtId="169" formatCode="#,##0\ [$€-407]"/>
    <numFmt numFmtId="170" formatCode="_-* #,##0.00\ [$€-407]_-;\-* #,##0.00\ [$€-407]_-;_-* &quot;-&quot;??\ [$€-407]_-;_-@_-"/>
    <numFmt numFmtId="171" formatCode="#,##0.0\ [$€-407]"/>
    <numFmt numFmtId="172" formatCode="_-* #,##0.0\ [$€-407]_-;\-* #,##0.0\ [$€-407]_-;_-* &quot;-&quot;?\ [$€-407]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b/>
      <sz val="5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5"/>
      <name val="Arial"/>
      <family val="2"/>
    </font>
    <font>
      <b/>
      <sz val="4"/>
      <color rgb="FF000000"/>
      <name val="Arial"/>
      <family val="2"/>
    </font>
    <font>
      <i/>
      <sz val="8"/>
      <color rgb="FFFF000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 tint="0.499984740745262"/>
      <name val="Arial"/>
      <family val="2"/>
    </font>
    <font>
      <b/>
      <sz val="16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8"/>
      <color rgb="FFFF0000"/>
      <name val="Arial"/>
      <family val="2"/>
    </font>
    <font>
      <b/>
      <sz val="8"/>
      <color theme="0"/>
      <name val="Calibri"/>
      <family val="2"/>
      <scheme val="minor"/>
    </font>
    <font>
      <b/>
      <sz val="14"/>
      <color theme="1" tint="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000000"/>
      <name val="Arial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9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B1B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347">
    <xf numFmtId="0" fontId="0" fillId="0" borderId="0" xfId="0"/>
    <xf numFmtId="0" fontId="0" fillId="3" borderId="1" xfId="0" applyFill="1" applyBorder="1" applyAlignment="1">
      <alignment wrapText="1"/>
    </xf>
    <xf numFmtId="3" fontId="0" fillId="0" borderId="6" xfId="0" applyNumberFormat="1" applyBorder="1"/>
    <xf numFmtId="3" fontId="0" fillId="0" borderId="9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4" fontId="0" fillId="0" borderId="0" xfId="1" applyFont="1"/>
    <xf numFmtId="0" fontId="0" fillId="0" borderId="0" xfId="0" applyFill="1" applyBorder="1" applyProtection="1"/>
    <xf numFmtId="0" fontId="0" fillId="0" borderId="0" xfId="0" applyBorder="1"/>
    <xf numFmtId="0" fontId="0" fillId="0" borderId="0" xfId="0" applyAlignment="1">
      <alignment wrapText="1"/>
    </xf>
    <xf numFmtId="167" fontId="0" fillId="0" borderId="6" xfId="1" applyNumberFormat="1" applyFont="1" applyBorder="1"/>
    <xf numFmtId="167" fontId="0" fillId="0" borderId="2" xfId="1" applyNumberFormat="1" applyFont="1" applyBorder="1"/>
    <xf numFmtId="167" fontId="0" fillId="0" borderId="0" xfId="1" applyNumberFormat="1" applyFont="1" applyBorder="1"/>
    <xf numFmtId="167" fontId="0" fillId="0" borderId="7" xfId="1" applyNumberFormat="1" applyFont="1" applyBorder="1"/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0" xfId="0" applyFont="1" applyFill="1" applyBorder="1"/>
    <xf numFmtId="0" fontId="4" fillId="6" borderId="1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wrapText="1"/>
    </xf>
    <xf numFmtId="4" fontId="6" fillId="0" borderId="6" xfId="0" applyNumberFormat="1" applyFont="1" applyBorder="1"/>
    <xf numFmtId="4" fontId="6" fillId="0" borderId="6" xfId="0" applyNumberFormat="1" applyFont="1" applyFill="1" applyBorder="1"/>
    <xf numFmtId="4" fontId="6" fillId="0" borderId="0" xfId="0" applyNumberFormat="1" applyFont="1" applyBorder="1"/>
    <xf numFmtId="3" fontId="6" fillId="0" borderId="10" xfId="0" applyNumberFormat="1" applyFont="1" applyBorder="1"/>
    <xf numFmtId="4" fontId="6" fillId="0" borderId="10" xfId="0" applyNumberFormat="1" applyFont="1" applyBorder="1"/>
    <xf numFmtId="4" fontId="6" fillId="0" borderId="7" xfId="0" applyNumberFormat="1" applyFont="1" applyBorder="1"/>
    <xf numFmtId="4" fontId="6" fillId="0" borderId="12" xfId="0" applyNumberFormat="1" applyFont="1" applyBorder="1"/>
    <xf numFmtId="167" fontId="0" fillId="5" borderId="7" xfId="1" applyNumberFormat="1" applyFont="1" applyFill="1" applyBorder="1"/>
    <xf numFmtId="44" fontId="0" fillId="5" borderId="6" xfId="1" applyNumberFormat="1" applyFont="1" applyFill="1" applyBorder="1"/>
    <xf numFmtId="4" fontId="0" fillId="0" borderId="6" xfId="0" applyNumberFormat="1" applyFont="1" applyBorder="1"/>
    <xf numFmtId="4" fontId="0" fillId="0" borderId="7" xfId="0" applyNumberFormat="1" applyFont="1" applyBorder="1"/>
    <xf numFmtId="0" fontId="4" fillId="9" borderId="3" xfId="0" applyFont="1" applyFill="1" applyBorder="1"/>
    <xf numFmtId="3" fontId="4" fillId="9" borderId="16" xfId="0" applyNumberFormat="1" applyFont="1" applyFill="1" applyBorder="1"/>
    <xf numFmtId="0" fontId="4" fillId="9" borderId="8" xfId="0" applyFont="1" applyFill="1" applyBorder="1"/>
    <xf numFmtId="3" fontId="4" fillId="9" borderId="17" xfId="0" applyNumberFormat="1" applyFont="1" applyFill="1" applyBorder="1"/>
    <xf numFmtId="165" fontId="4" fillId="9" borderId="17" xfId="0" applyNumberFormat="1" applyFont="1" applyFill="1" applyBorder="1"/>
    <xf numFmtId="164" fontId="4" fillId="9" borderId="17" xfId="0" applyNumberFormat="1" applyFont="1" applyFill="1" applyBorder="1"/>
    <xf numFmtId="0" fontId="4" fillId="9" borderId="4" xfId="0" applyFont="1" applyFill="1" applyBorder="1"/>
    <xf numFmtId="9" fontId="4" fillId="9" borderId="17" xfId="0" applyNumberFormat="1" applyFont="1" applyFill="1" applyBorder="1"/>
    <xf numFmtId="1" fontId="4" fillId="9" borderId="17" xfId="0" applyNumberFormat="1" applyFont="1" applyFill="1" applyBorder="1"/>
    <xf numFmtId="0" fontId="4" fillId="9" borderId="5" xfId="0" applyFont="1" applyFill="1" applyBorder="1"/>
    <xf numFmtId="0" fontId="4" fillId="9" borderId="14" xfId="0" applyFont="1" applyFill="1" applyBorder="1"/>
    <xf numFmtId="10" fontId="4" fillId="9" borderId="14" xfId="0" applyNumberFormat="1" applyFont="1" applyFill="1" applyBorder="1"/>
    <xf numFmtId="167" fontId="4" fillId="9" borderId="14" xfId="1" applyNumberFormat="1" applyFont="1" applyFill="1" applyBorder="1" applyProtection="1"/>
    <xf numFmtId="167" fontId="4" fillId="9" borderId="14" xfId="0" applyNumberFormat="1" applyFont="1" applyFill="1" applyBorder="1" applyProtection="1"/>
    <xf numFmtId="166" fontId="4" fillId="9" borderId="17" xfId="0" applyNumberFormat="1" applyFont="1" applyFill="1" applyBorder="1" applyProtection="1"/>
    <xf numFmtId="167" fontId="4" fillId="9" borderId="17" xfId="0" applyNumberFormat="1" applyFont="1" applyFill="1" applyBorder="1" applyProtection="1"/>
    <xf numFmtId="0" fontId="4" fillId="9" borderId="13" xfId="0" applyFont="1" applyFill="1" applyBorder="1"/>
    <xf numFmtId="9" fontId="4" fillId="9" borderId="14" xfId="2" applyFont="1" applyFill="1" applyBorder="1" applyProtection="1"/>
    <xf numFmtId="9" fontId="0" fillId="9" borderId="0" xfId="0" applyNumberFormat="1" applyFill="1"/>
    <xf numFmtId="44" fontId="4" fillId="9" borderId="0" xfId="1" applyFont="1" applyFill="1"/>
    <xf numFmtId="0" fontId="0" fillId="6" borderId="0" xfId="0" applyFill="1" applyBorder="1" applyAlignment="1">
      <alignment wrapText="1"/>
    </xf>
    <xf numFmtId="0" fontId="4" fillId="9" borderId="4" xfId="0" applyFont="1" applyFill="1" applyBorder="1" applyProtection="1"/>
    <xf numFmtId="4" fontId="0" fillId="0" borderId="6" xfId="0" applyNumberFormat="1" applyFill="1" applyBorder="1"/>
    <xf numFmtId="4" fontId="0" fillId="0" borderId="6" xfId="1" applyNumberFormat="1" applyFont="1" applyFill="1" applyBorder="1"/>
    <xf numFmtId="4" fontId="0" fillId="5" borderId="7" xfId="1" applyNumberFormat="1" applyFont="1" applyFill="1" applyBorder="1"/>
    <xf numFmtId="4" fontId="0" fillId="0" borderId="2" xfId="1" applyNumberFormat="1" applyFont="1" applyFill="1" applyBorder="1"/>
    <xf numFmtId="4" fontId="0" fillId="0" borderId="2" xfId="2" applyNumberFormat="1" applyFont="1" applyFill="1" applyBorder="1"/>
    <xf numFmtId="4" fontId="0" fillId="0" borderId="0" xfId="1" applyNumberFormat="1" applyFont="1" applyFill="1" applyBorder="1"/>
    <xf numFmtId="4" fontId="0" fillId="0" borderId="2" xfId="1" applyNumberFormat="1" applyFont="1" applyBorder="1"/>
    <xf numFmtId="4" fontId="0" fillId="0" borderId="7" xfId="1" applyNumberFormat="1" applyFont="1" applyFill="1" applyBorder="1"/>
    <xf numFmtId="4" fontId="0" fillId="0" borderId="0" xfId="1" applyNumberFormat="1" applyFont="1" applyBorder="1"/>
    <xf numFmtId="0" fontId="4" fillId="9" borderId="0" xfId="0" applyFont="1" applyFill="1"/>
    <xf numFmtId="0" fontId="11" fillId="9" borderId="0" xfId="0" applyFont="1" applyFill="1"/>
    <xf numFmtId="44" fontId="5" fillId="0" borderId="14" xfId="1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14" fillId="4" borderId="0" xfId="3" applyFont="1" applyFill="1"/>
    <xf numFmtId="0" fontId="17" fillId="4" borderId="0" xfId="3" applyFont="1" applyFill="1" applyAlignment="1">
      <alignment horizontal="left" vertical="top" wrapText="1"/>
    </xf>
    <xf numFmtId="0" fontId="18" fillId="4" borderId="0" xfId="3" applyFont="1" applyFill="1"/>
    <xf numFmtId="0" fontId="19" fillId="0" borderId="0" xfId="3" applyFont="1"/>
    <xf numFmtId="0" fontId="14" fillId="0" borderId="0" xfId="3" applyFont="1"/>
    <xf numFmtId="0" fontId="17" fillId="0" borderId="0" xfId="3" applyFont="1" applyAlignment="1">
      <alignment horizontal="left" vertical="top" wrapText="1"/>
    </xf>
    <xf numFmtId="0" fontId="16" fillId="4" borderId="0" xfId="3" applyFont="1" applyFill="1" applyAlignment="1">
      <alignment horizontal="left" vertical="top" wrapText="1"/>
    </xf>
    <xf numFmtId="0" fontId="16" fillId="0" borderId="0" xfId="3" applyFont="1" applyAlignment="1">
      <alignment horizontal="left" vertical="top" wrapText="1"/>
    </xf>
    <xf numFmtId="0" fontId="18" fillId="0" borderId="0" xfId="3" applyFont="1"/>
    <xf numFmtId="168" fontId="14" fillId="0" borderId="0" xfId="3" applyNumberFormat="1" applyFont="1"/>
    <xf numFmtId="0" fontId="14" fillId="0" borderId="0" xfId="3" applyFont="1" applyAlignment="1">
      <alignment horizontal="center" vertical="center"/>
    </xf>
    <xf numFmtId="169" fontId="22" fillId="0" borderId="14" xfId="3" applyNumberFormat="1" applyFont="1" applyBorder="1"/>
    <xf numFmtId="0" fontId="5" fillId="0" borderId="0" xfId="0" applyFont="1" applyFill="1" applyBorder="1" applyAlignment="1">
      <alignment wrapText="1"/>
    </xf>
    <xf numFmtId="0" fontId="22" fillId="0" borderId="0" xfId="3" applyFont="1" applyFill="1" applyBorder="1"/>
    <xf numFmtId="0" fontId="8" fillId="0" borderId="0" xfId="3" applyFont="1" applyFill="1" applyBorder="1"/>
    <xf numFmtId="168" fontId="22" fillId="0" borderId="0" xfId="3" applyNumberFormat="1" applyFont="1" applyFill="1" applyBorder="1"/>
    <xf numFmtId="167" fontId="1" fillId="0" borderId="0" xfId="1" applyNumberFormat="1" applyFont="1" applyFill="1" applyBorder="1" applyProtection="1"/>
    <xf numFmtId="167" fontId="1" fillId="0" borderId="0" xfId="1" applyNumberFormat="1" applyFont="1" applyFill="1" applyBorder="1"/>
    <xf numFmtId="167" fontId="1" fillId="0" borderId="0" xfId="0" applyNumberFormat="1" applyFont="1" applyFill="1" applyBorder="1" applyProtection="1"/>
    <xf numFmtId="167" fontId="2" fillId="0" borderId="0" xfId="1" applyNumberFormat="1" applyFont="1" applyFill="1" applyBorder="1" applyProtection="1"/>
    <xf numFmtId="9" fontId="4" fillId="0" borderId="0" xfId="2" applyFont="1" applyFill="1" applyBorder="1" applyProtection="1"/>
    <xf numFmtId="0" fontId="22" fillId="4" borderId="0" xfId="3" applyFont="1" applyFill="1" applyBorder="1"/>
    <xf numFmtId="0" fontId="11" fillId="0" borderId="0" xfId="0" applyFont="1"/>
    <xf numFmtId="0" fontId="24" fillId="0" borderId="0" xfId="0" applyFont="1"/>
    <xf numFmtId="0" fontId="14" fillId="0" borderId="0" xfId="3" applyFont="1" applyBorder="1"/>
    <xf numFmtId="167" fontId="0" fillId="0" borderId="0" xfId="1" applyNumberFormat="1" applyFont="1" applyFill="1" applyBorder="1" applyProtection="1"/>
    <xf numFmtId="0" fontId="14" fillId="0" borderId="0" xfId="3" applyFont="1" applyFill="1" applyBorder="1"/>
    <xf numFmtId="0" fontId="3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66" fontId="0" fillId="0" borderId="0" xfId="0" applyNumberFormat="1" applyFill="1" applyBorder="1" applyProtection="1"/>
    <xf numFmtId="0" fontId="29" fillId="4" borderId="0" xfId="3" applyFont="1" applyFill="1" applyBorder="1"/>
    <xf numFmtId="0" fontId="31" fillId="4" borderId="0" xfId="0" applyFont="1" applyFill="1" applyBorder="1"/>
    <xf numFmtId="166" fontId="23" fillId="4" borderId="0" xfId="0" applyNumberFormat="1" applyFont="1" applyFill="1" applyBorder="1" applyProtection="1"/>
    <xf numFmtId="167" fontId="23" fillId="4" borderId="0" xfId="1" applyNumberFormat="1" applyFont="1" applyFill="1" applyBorder="1"/>
    <xf numFmtId="0" fontId="32" fillId="0" borderId="0" xfId="0" applyFont="1" applyFill="1" applyBorder="1"/>
    <xf numFmtId="0" fontId="4" fillId="9" borderId="14" xfId="2" applyNumberFormat="1" applyFont="1" applyFill="1" applyBorder="1" applyProtection="1"/>
    <xf numFmtId="4" fontId="0" fillId="8" borderId="0" xfId="0" applyNumberFormat="1" applyFill="1" applyBorder="1"/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0" fontId="4" fillId="0" borderId="0" xfId="0" applyNumberFormat="1" applyFont="1" applyFill="1" applyBorder="1"/>
    <xf numFmtId="167" fontId="4" fillId="0" borderId="0" xfId="1" applyNumberFormat="1" applyFont="1" applyFill="1" applyBorder="1" applyProtection="1"/>
    <xf numFmtId="167" fontId="4" fillId="0" borderId="0" xfId="0" applyNumberFormat="1" applyFont="1" applyFill="1" applyBorder="1" applyProtection="1"/>
    <xf numFmtId="166" fontId="4" fillId="0" borderId="0" xfId="0" applyNumberFormat="1" applyFont="1" applyFill="1" applyBorder="1" applyProtection="1"/>
    <xf numFmtId="0" fontId="22" fillId="0" borderId="14" xfId="3" applyFont="1" applyBorder="1"/>
    <xf numFmtId="0" fontId="22" fillId="0" borderId="0" xfId="3" applyFont="1"/>
    <xf numFmtId="0" fontId="22" fillId="0" borderId="25" xfId="3" applyFont="1" applyBorder="1"/>
    <xf numFmtId="0" fontId="22" fillId="0" borderId="8" xfId="3" applyFont="1" applyBorder="1"/>
    <xf numFmtId="170" fontId="22" fillId="0" borderId="14" xfId="3" applyNumberFormat="1" applyFont="1" applyBorder="1"/>
    <xf numFmtId="168" fontId="22" fillId="0" borderId="14" xfId="3" applyNumberFormat="1" applyFont="1" applyBorder="1"/>
    <xf numFmtId="168" fontId="1" fillId="0" borderId="14" xfId="1" applyNumberFormat="1" applyFont="1" applyBorder="1"/>
    <xf numFmtId="168" fontId="6" fillId="0" borderId="14" xfId="0" applyNumberFormat="1" applyFont="1" applyBorder="1"/>
    <xf numFmtId="0" fontId="14" fillId="0" borderId="0" xfId="3" applyFont="1" applyFill="1"/>
    <xf numFmtId="0" fontId="16" fillId="0" borderId="0" xfId="3" applyFont="1" applyFill="1" applyAlignment="1">
      <alignment horizontal="left" vertical="top" wrapText="1"/>
    </xf>
    <xf numFmtId="0" fontId="14" fillId="0" borderId="0" xfId="3" applyFont="1" applyFill="1" applyAlignment="1">
      <alignment horizontal="center" vertical="center"/>
    </xf>
    <xf numFmtId="0" fontId="19" fillId="0" borderId="0" xfId="3" applyFont="1" applyFill="1"/>
    <xf numFmtId="0" fontId="22" fillId="0" borderId="27" xfId="3" applyFont="1" applyBorder="1"/>
    <xf numFmtId="168" fontId="22" fillId="0" borderId="17" xfId="3" applyNumberFormat="1" applyFont="1" applyBorder="1"/>
    <xf numFmtId="0" fontId="14" fillId="13" borderId="14" xfId="0" applyFont="1" applyFill="1" applyBorder="1" applyAlignment="1">
      <alignment horizontal="center" vertical="center" wrapText="1"/>
    </xf>
    <xf numFmtId="169" fontId="22" fillId="0" borderId="14" xfId="3" applyNumberFormat="1" applyFont="1" applyFill="1" applyBorder="1"/>
    <xf numFmtId="0" fontId="22" fillId="13" borderId="14" xfId="0" applyFont="1" applyFill="1" applyBorder="1" applyAlignment="1">
      <alignment horizontal="center" vertical="center" wrapText="1"/>
    </xf>
    <xf numFmtId="171" fontId="22" fillId="0" borderId="14" xfId="3" applyNumberFormat="1" applyFont="1" applyBorder="1"/>
    <xf numFmtId="0" fontId="22" fillId="13" borderId="19" xfId="0" applyFont="1" applyFill="1" applyBorder="1" applyAlignment="1">
      <alignment horizontal="center" vertical="center" wrapText="1"/>
    </xf>
    <xf numFmtId="168" fontId="22" fillId="0" borderId="28" xfId="3" applyNumberFormat="1" applyFont="1" applyBorder="1"/>
    <xf numFmtId="168" fontId="22" fillId="13" borderId="8" xfId="0" applyNumberFormat="1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168" fontId="22" fillId="0" borderId="8" xfId="3" applyNumberFormat="1" applyFont="1" applyBorder="1"/>
    <xf numFmtId="9" fontId="22" fillId="0" borderId="17" xfId="2" applyFont="1" applyBorder="1"/>
    <xf numFmtId="0" fontId="22" fillId="13" borderId="23" xfId="0" applyFont="1" applyFill="1" applyBorder="1" applyAlignment="1">
      <alignment horizontal="center" vertical="center" wrapText="1"/>
    </xf>
    <xf numFmtId="169" fontId="22" fillId="0" borderId="8" xfId="3" applyNumberFormat="1" applyFont="1" applyFill="1" applyBorder="1"/>
    <xf numFmtId="171" fontId="22" fillId="0" borderId="17" xfId="3" applyNumberFormat="1" applyFont="1" applyBorder="1"/>
    <xf numFmtId="0" fontId="22" fillId="13" borderId="8" xfId="0" applyFont="1" applyFill="1" applyBorder="1" applyAlignment="1">
      <alignment horizontal="center" vertical="center" wrapText="1"/>
    </xf>
    <xf numFmtId="172" fontId="22" fillId="0" borderId="14" xfId="3" applyNumberFormat="1" applyFont="1" applyBorder="1"/>
    <xf numFmtId="0" fontId="16" fillId="0" borderId="0" xfId="3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9" fontId="22" fillId="0" borderId="0" xfId="2" applyFont="1" applyFill="1" applyBorder="1"/>
    <xf numFmtId="0" fontId="9" fillId="0" borderId="31" xfId="0" applyFont="1" applyBorder="1" applyAlignment="1">
      <alignment horizontal="center" vertical="center" wrapText="1"/>
    </xf>
    <xf numFmtId="3" fontId="34" fillId="15" borderId="31" xfId="0" applyNumberFormat="1" applyFont="1" applyFill="1" applyBorder="1" applyAlignment="1">
      <alignment horizontal="right" vertical="center" wrapText="1"/>
    </xf>
    <xf numFmtId="0" fontId="34" fillId="15" borderId="31" xfId="0" applyFont="1" applyFill="1" applyBorder="1" applyAlignment="1">
      <alignment horizontal="right" vertical="center" wrapText="1"/>
    </xf>
    <xf numFmtId="10" fontId="34" fillId="15" borderId="31" xfId="0" applyNumberFormat="1" applyFont="1" applyFill="1" applyBorder="1" applyAlignment="1">
      <alignment horizontal="right" vertical="center" wrapText="1"/>
    </xf>
    <xf numFmtId="3" fontId="34" fillId="16" borderId="31" xfId="0" applyNumberFormat="1" applyFont="1" applyFill="1" applyBorder="1" applyAlignment="1">
      <alignment horizontal="right" vertical="center" wrapText="1"/>
    </xf>
    <xf numFmtId="0" fontId="34" fillId="16" borderId="31" xfId="0" applyFont="1" applyFill="1" applyBorder="1" applyAlignment="1">
      <alignment horizontal="right" vertical="center" wrapText="1"/>
    </xf>
    <xf numFmtId="10" fontId="34" fillId="16" borderId="31" xfId="0" applyNumberFormat="1" applyFont="1" applyFill="1" applyBorder="1" applyAlignment="1">
      <alignment horizontal="right" vertical="center" wrapText="1"/>
    </xf>
    <xf numFmtId="0" fontId="8" fillId="14" borderId="2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70" fontId="22" fillId="0" borderId="21" xfId="3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2" fillId="10" borderId="0" xfId="3" applyFont="1" applyFill="1" applyBorder="1"/>
    <xf numFmtId="9" fontId="22" fillId="10" borderId="0" xfId="2" applyFont="1" applyFill="1" applyBorder="1"/>
    <xf numFmtId="0" fontId="25" fillId="10" borderId="0" xfId="3" quotePrefix="1" applyFont="1" applyFill="1" applyBorder="1"/>
    <xf numFmtId="0" fontId="0" fillId="0" borderId="0" xfId="0" applyAlignment="1">
      <alignment vertical="center" wrapText="1"/>
    </xf>
    <xf numFmtId="169" fontId="22" fillId="0" borderId="28" xfId="3" applyNumberFormat="1" applyFont="1" applyBorder="1"/>
    <xf numFmtId="0" fontId="22" fillId="13" borderId="33" xfId="0" applyFont="1" applyFill="1" applyBorder="1" applyAlignment="1">
      <alignment horizontal="center" vertical="center" wrapText="1"/>
    </xf>
    <xf numFmtId="0" fontId="22" fillId="13" borderId="34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172" fontId="22" fillId="0" borderId="17" xfId="3" applyNumberFormat="1" applyFont="1" applyBorder="1"/>
    <xf numFmtId="0" fontId="22" fillId="18" borderId="19" xfId="0" applyFont="1" applyFill="1" applyBorder="1" applyAlignment="1">
      <alignment horizontal="center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22" fillId="18" borderId="29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wrapText="1"/>
    </xf>
    <xf numFmtId="0" fontId="4" fillId="18" borderId="1" xfId="0" applyFont="1" applyFill="1" applyBorder="1" applyAlignment="1">
      <alignment wrapText="1"/>
    </xf>
    <xf numFmtId="3" fontId="6" fillId="18" borderId="10" xfId="0" applyNumberFormat="1" applyFont="1" applyFill="1" applyBorder="1"/>
    <xf numFmtId="4" fontId="6" fillId="18" borderId="10" xfId="0" applyNumberFormat="1" applyFont="1" applyFill="1" applyBorder="1"/>
    <xf numFmtId="4" fontId="6" fillId="18" borderId="7" xfId="0" applyNumberFormat="1" applyFont="1" applyFill="1" applyBorder="1"/>
    <xf numFmtId="4" fontId="6" fillId="18" borderId="6" xfId="0" applyNumberFormat="1" applyFont="1" applyFill="1" applyBorder="1"/>
    <xf numFmtId="0" fontId="2" fillId="18" borderId="1" xfId="0" applyFont="1" applyFill="1" applyBorder="1"/>
    <xf numFmtId="4" fontId="6" fillId="18" borderId="12" xfId="0" applyNumberFormat="1" applyFont="1" applyFill="1" applyBorder="1"/>
    <xf numFmtId="9" fontId="22" fillId="0" borderId="14" xfId="2" applyFont="1" applyFill="1" applyBorder="1"/>
    <xf numFmtId="168" fontId="22" fillId="0" borderId="14" xfId="3" applyNumberFormat="1" applyFont="1" applyFill="1" applyBorder="1"/>
    <xf numFmtId="9" fontId="22" fillId="0" borderId="17" xfId="2" applyFont="1" applyFill="1" applyBorder="1"/>
    <xf numFmtId="10" fontId="0" fillId="0" borderId="0" xfId="2" applyNumberFormat="1" applyFont="1"/>
    <xf numFmtId="0" fontId="0" fillId="3" borderId="0" xfId="0" applyFill="1" applyAlignment="1">
      <alignment vertical="center" wrapText="1"/>
    </xf>
    <xf numFmtId="0" fontId="0" fillId="3" borderId="30" xfId="0" applyFill="1" applyBorder="1" applyAlignment="1">
      <alignment vertical="center" wrapText="1"/>
    </xf>
    <xf numFmtId="10" fontId="0" fillId="3" borderId="30" xfId="2" applyNumberFormat="1" applyFont="1" applyFill="1" applyBorder="1"/>
    <xf numFmtId="10" fontId="0" fillId="3" borderId="0" xfId="2" applyNumberFormat="1" applyFont="1" applyFill="1"/>
    <xf numFmtId="0" fontId="26" fillId="10" borderId="0" xfId="3" applyFont="1" applyFill="1" applyBorder="1" applyAlignment="1">
      <alignment horizontal="center" vertical="center" wrapText="1"/>
    </xf>
    <xf numFmtId="168" fontId="14" fillId="0" borderId="0" xfId="3" applyNumberFormat="1" applyFont="1" applyFill="1"/>
    <xf numFmtId="0" fontId="16" fillId="0" borderId="0" xfId="3" applyFont="1" applyFill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22" fillId="10" borderId="0" xfId="3" applyFont="1" applyFill="1" applyBorder="1" applyAlignment="1">
      <alignment horizontal="center" vertical="center"/>
    </xf>
    <xf numFmtId="0" fontId="14" fillId="11" borderId="14" xfId="3" applyFont="1" applyFill="1" applyBorder="1" applyAlignment="1">
      <alignment horizontal="center" vertical="center" wrapText="1"/>
    </xf>
    <xf numFmtId="0" fontId="19" fillId="11" borderId="14" xfId="3" applyFont="1" applyFill="1" applyBorder="1" applyAlignment="1">
      <alignment horizontal="center" vertical="center" wrapText="1"/>
    </xf>
    <xf numFmtId="9" fontId="22" fillId="10" borderId="38" xfId="2" applyFont="1" applyFill="1" applyBorder="1"/>
    <xf numFmtId="0" fontId="22" fillId="10" borderId="39" xfId="3" applyFont="1" applyFill="1" applyBorder="1"/>
    <xf numFmtId="0" fontId="22" fillId="13" borderId="40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168" fontId="22" fillId="0" borderId="42" xfId="3" applyNumberFormat="1" applyFont="1" applyBorder="1"/>
    <xf numFmtId="170" fontId="22" fillId="0" borderId="43" xfId="3" applyNumberFormat="1" applyFont="1" applyBorder="1"/>
    <xf numFmtId="169" fontId="22" fillId="0" borderId="42" xfId="3" applyNumberFormat="1" applyFont="1" applyFill="1" applyBorder="1"/>
    <xf numFmtId="0" fontId="22" fillId="10" borderId="38" xfId="3" applyFont="1" applyFill="1" applyBorder="1" applyAlignment="1">
      <alignment horizontal="center" vertical="center"/>
    </xf>
    <xf numFmtId="170" fontId="36" fillId="10" borderId="0" xfId="3" applyNumberFormat="1" applyFont="1" applyFill="1" applyBorder="1" applyAlignment="1">
      <alignment horizontal="center" vertical="center"/>
    </xf>
    <xf numFmtId="0" fontId="14" fillId="11" borderId="42" xfId="3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vertical="center" wrapText="1"/>
    </xf>
    <xf numFmtId="0" fontId="23" fillId="4" borderId="36" xfId="0" applyFont="1" applyFill="1" applyBorder="1" applyAlignment="1">
      <alignment vertical="center" wrapText="1"/>
    </xf>
    <xf numFmtId="9" fontId="29" fillId="4" borderId="36" xfId="3" applyNumberFormat="1" applyFont="1" applyFill="1" applyBorder="1"/>
    <xf numFmtId="0" fontId="29" fillId="4" borderId="36" xfId="3" applyFont="1" applyFill="1" applyBorder="1"/>
    <xf numFmtId="0" fontId="29" fillId="4" borderId="37" xfId="3" applyFont="1" applyFill="1" applyBorder="1"/>
    <xf numFmtId="0" fontId="29" fillId="4" borderId="38" xfId="3" applyFont="1" applyFill="1" applyBorder="1"/>
    <xf numFmtId="0" fontId="29" fillId="4" borderId="39" xfId="3" applyFont="1" applyFill="1" applyBorder="1"/>
    <xf numFmtId="0" fontId="23" fillId="4" borderId="38" xfId="0" applyFont="1" applyFill="1" applyBorder="1" applyAlignment="1">
      <alignment vertical="center" wrapText="1"/>
    </xf>
    <xf numFmtId="0" fontId="37" fillId="4" borderId="38" xfId="0" applyFont="1" applyFill="1" applyBorder="1" applyAlignment="1">
      <alignment vertical="center"/>
    </xf>
    <xf numFmtId="0" fontId="15" fillId="4" borderId="0" xfId="3" applyFont="1" applyFill="1" applyBorder="1" applyAlignment="1"/>
    <xf numFmtId="0" fontId="37" fillId="4" borderId="0" xfId="0" applyFont="1" applyFill="1" applyBorder="1" applyAlignment="1">
      <alignment vertical="center"/>
    </xf>
    <xf numFmtId="169" fontId="8" fillId="0" borderId="43" xfId="3" applyNumberFormat="1" applyFont="1" applyBorder="1"/>
    <xf numFmtId="0" fontId="22" fillId="0" borderId="0" xfId="3" applyFont="1" applyFill="1"/>
    <xf numFmtId="0" fontId="22" fillId="13" borderId="42" xfId="3" applyFont="1" applyFill="1" applyBorder="1" applyAlignment="1">
      <alignment horizontal="center" vertical="center"/>
    </xf>
    <xf numFmtId="0" fontId="22" fillId="13" borderId="14" xfId="3" applyFont="1" applyFill="1" applyBorder="1" applyAlignment="1">
      <alignment horizontal="center" vertical="center"/>
    </xf>
    <xf numFmtId="168" fontId="22" fillId="13" borderId="14" xfId="3" applyNumberFormat="1" applyFont="1" applyFill="1" applyBorder="1" applyAlignment="1">
      <alignment horizontal="center" vertical="center"/>
    </xf>
    <xf numFmtId="9" fontId="22" fillId="13" borderId="14" xfId="2" applyFont="1" applyFill="1" applyBorder="1" applyAlignment="1">
      <alignment horizontal="center" vertical="center"/>
    </xf>
    <xf numFmtId="170" fontId="22" fillId="13" borderId="14" xfId="2" applyNumberFormat="1" applyFont="1" applyFill="1" applyBorder="1" applyAlignment="1">
      <alignment horizontal="center" vertical="center"/>
    </xf>
    <xf numFmtId="0" fontId="22" fillId="10" borderId="35" xfId="3" applyFont="1" applyFill="1" applyBorder="1" applyAlignment="1">
      <alignment horizontal="center" vertical="center"/>
    </xf>
    <xf numFmtId="0" fontId="22" fillId="10" borderId="36" xfId="3" applyFont="1" applyFill="1" applyBorder="1" applyAlignment="1">
      <alignment horizontal="center" vertical="center"/>
    </xf>
    <xf numFmtId="170" fontId="36" fillId="10" borderId="36" xfId="3" applyNumberFormat="1" applyFont="1" applyFill="1" applyBorder="1" applyAlignment="1">
      <alignment horizontal="center" vertical="center"/>
    </xf>
    <xf numFmtId="0" fontId="22" fillId="10" borderId="36" xfId="3" applyFont="1" applyFill="1" applyBorder="1"/>
    <xf numFmtId="9" fontId="22" fillId="10" borderId="36" xfId="2" applyFont="1" applyFill="1" applyBorder="1"/>
    <xf numFmtId="0" fontId="22" fillId="10" borderId="37" xfId="3" applyFont="1" applyFill="1" applyBorder="1"/>
    <xf numFmtId="0" fontId="16" fillId="6" borderId="26" xfId="3" applyFont="1" applyFill="1" applyBorder="1" applyAlignment="1">
      <alignment horizontal="center" vertical="center" wrapText="1"/>
    </xf>
    <xf numFmtId="0" fontId="8" fillId="6" borderId="19" xfId="3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7" fillId="10" borderId="0" xfId="3" applyFont="1" applyFill="1" applyBorder="1" applyAlignment="1">
      <alignment horizontal="left" vertical="top"/>
    </xf>
    <xf numFmtId="9" fontId="33" fillId="5" borderId="14" xfId="2" applyFont="1" applyFill="1" applyBorder="1" applyAlignment="1" applyProtection="1">
      <alignment horizontal="center" vertical="center"/>
      <protection locked="0"/>
    </xf>
    <xf numFmtId="0" fontId="16" fillId="14" borderId="19" xfId="3" applyFont="1" applyFill="1" applyBorder="1" applyAlignment="1">
      <alignment horizontal="center" vertical="center" wrapText="1"/>
    </xf>
    <xf numFmtId="0" fontId="8" fillId="14" borderId="19" xfId="3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8" fillId="17" borderId="19" xfId="3" applyFont="1" applyFill="1" applyBorder="1" applyAlignment="1">
      <alignment horizontal="center" vertical="center" wrapText="1"/>
    </xf>
    <xf numFmtId="0" fontId="16" fillId="17" borderId="19" xfId="3" applyFont="1" applyFill="1" applyBorder="1" applyAlignment="1">
      <alignment horizontal="center" vertical="center" wrapText="1"/>
    </xf>
    <xf numFmtId="0" fontId="16" fillId="19" borderId="41" xfId="3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69" fontId="22" fillId="0" borderId="22" xfId="3" applyNumberFormat="1" applyFont="1" applyBorder="1"/>
    <xf numFmtId="0" fontId="16" fillId="17" borderId="24" xfId="3" applyFont="1" applyFill="1" applyBorder="1" applyAlignment="1">
      <alignment horizontal="center" vertical="center" wrapText="1"/>
    </xf>
    <xf numFmtId="0" fontId="15" fillId="4" borderId="0" xfId="3" applyFont="1" applyFill="1" applyAlignment="1">
      <alignment vertical="center" wrapText="1"/>
    </xf>
    <xf numFmtId="0" fontId="16" fillId="0" borderId="15" xfId="3" applyFont="1" applyBorder="1" applyAlignment="1">
      <alignment horizontal="left" vertical="center" wrapText="1"/>
    </xf>
    <xf numFmtId="0" fontId="16" fillId="0" borderId="15" xfId="3" applyFont="1" applyBorder="1" applyAlignment="1">
      <alignment vertical="center" wrapText="1"/>
    </xf>
    <xf numFmtId="0" fontId="14" fillId="0" borderId="15" xfId="3" applyFont="1" applyBorder="1" applyAlignment="1">
      <alignment vertical="center" wrapText="1"/>
    </xf>
    <xf numFmtId="44" fontId="33" fillId="0" borderId="0" xfId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vertical="center" wrapText="1"/>
    </xf>
    <xf numFmtId="0" fontId="25" fillId="0" borderId="0" xfId="3" applyFont="1" applyFill="1" applyBorder="1" applyAlignment="1">
      <alignment vertical="center"/>
    </xf>
    <xf numFmtId="0" fontId="18" fillId="0" borderId="0" xfId="3" applyFont="1" applyFill="1"/>
    <xf numFmtId="0" fontId="12" fillId="0" borderId="0" xfId="0" applyFont="1" applyFill="1" applyBorder="1" applyAlignment="1">
      <alignment wrapText="1"/>
    </xf>
    <xf numFmtId="0" fontId="18" fillId="0" borderId="0" xfId="3" applyFont="1" applyFill="1" applyBorder="1"/>
    <xf numFmtId="168" fontId="14" fillId="0" borderId="0" xfId="3" applyNumberFormat="1" applyFont="1" applyFill="1" applyBorder="1"/>
    <xf numFmtId="0" fontId="19" fillId="0" borderId="0" xfId="3" applyFont="1" applyFill="1" applyBorder="1"/>
    <xf numFmtId="0" fontId="20" fillId="4" borderId="0" xfId="3" applyFont="1" applyFill="1" applyAlignment="1">
      <alignment horizontal="left" vertical="top" wrapText="1"/>
    </xf>
    <xf numFmtId="0" fontId="41" fillId="4" borderId="0" xfId="3" applyFont="1" applyFill="1" applyAlignment="1">
      <alignment horizontal="right" vertical="center"/>
    </xf>
    <xf numFmtId="0" fontId="41" fillId="0" borderId="20" xfId="3" applyFont="1" applyBorder="1" applyAlignment="1">
      <alignment horizontal="right" vertical="center"/>
    </xf>
    <xf numFmtId="0" fontId="41" fillId="0" borderId="0" xfId="3" applyFont="1" applyAlignment="1">
      <alignment horizontal="right" vertical="center" wrapText="1"/>
    </xf>
    <xf numFmtId="0" fontId="41" fillId="2" borderId="0" xfId="3" applyFont="1" applyFill="1" applyAlignment="1">
      <alignment horizontal="right" vertical="center"/>
    </xf>
    <xf numFmtId="0" fontId="41" fillId="5" borderId="0" xfId="3" applyFont="1" applyFill="1" applyAlignment="1" applyProtection="1">
      <alignment horizontal="center" vertical="center"/>
      <protection locked="0"/>
    </xf>
    <xf numFmtId="0" fontId="41" fillId="11" borderId="0" xfId="3" applyFont="1" applyFill="1" applyAlignment="1">
      <alignment horizontal="center" vertical="center"/>
    </xf>
    <xf numFmtId="0" fontId="41" fillId="12" borderId="0" xfId="2" applyNumberFormat="1" applyFont="1" applyFill="1" applyBorder="1" applyAlignment="1">
      <alignment horizontal="center" vertical="center"/>
    </xf>
    <xf numFmtId="168" fontId="41" fillId="5" borderId="0" xfId="3" applyNumberFormat="1" applyFont="1" applyFill="1" applyAlignment="1" applyProtection="1">
      <alignment horizontal="center" vertical="center"/>
      <protection locked="0"/>
    </xf>
    <xf numFmtId="9" fontId="41" fillId="12" borderId="0" xfId="4" applyFont="1" applyFill="1" applyBorder="1" applyAlignment="1">
      <alignment horizontal="center" vertical="center"/>
    </xf>
    <xf numFmtId="165" fontId="41" fillId="5" borderId="0" xfId="4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41" fillId="0" borderId="0" xfId="3" applyFont="1" applyAlignment="1">
      <alignment horizontal="right" vertical="center"/>
    </xf>
    <xf numFmtId="165" fontId="9" fillId="5" borderId="0" xfId="2" applyNumberFormat="1" applyFont="1" applyFill="1" applyBorder="1" applyAlignment="1" applyProtection="1">
      <alignment horizontal="center" vertical="center"/>
      <protection locked="0"/>
    </xf>
    <xf numFmtId="168" fontId="41" fillId="5" borderId="0" xfId="4" applyNumberFormat="1" applyFont="1" applyFill="1" applyBorder="1" applyAlignment="1" applyProtection="1">
      <alignment horizontal="center" vertical="center"/>
      <protection locked="0"/>
    </xf>
    <xf numFmtId="9" fontId="41" fillId="5" borderId="0" xfId="4" applyFont="1" applyFill="1" applyBorder="1" applyAlignment="1" applyProtection="1">
      <alignment horizontal="center" vertical="center"/>
      <protection locked="0"/>
    </xf>
    <xf numFmtId="168" fontId="41" fillId="5" borderId="0" xfId="3" applyNumberFormat="1" applyFont="1" applyFill="1" applyBorder="1" applyAlignment="1" applyProtection="1">
      <alignment horizontal="center" vertical="center"/>
      <protection locked="0"/>
    </xf>
    <xf numFmtId="164" fontId="9" fillId="5" borderId="0" xfId="0" applyNumberFormat="1" applyFont="1" applyFill="1" applyBorder="1" applyAlignment="1" applyProtection="1">
      <alignment horizontal="center" vertical="center"/>
      <protection locked="0"/>
    </xf>
    <xf numFmtId="9" fontId="9" fillId="5" borderId="0" xfId="0" applyNumberFormat="1" applyFont="1" applyFill="1" applyBorder="1" applyAlignment="1" applyProtection="1">
      <alignment horizontal="center" vertical="center"/>
      <protection locked="0"/>
    </xf>
    <xf numFmtId="168" fontId="41" fillId="5" borderId="0" xfId="0" applyNumberFormat="1" applyFont="1" applyFill="1" applyBorder="1" applyAlignment="1" applyProtection="1">
      <alignment horizontal="center" vertical="center"/>
      <protection locked="0"/>
    </xf>
    <xf numFmtId="0" fontId="41" fillId="0" borderId="0" xfId="3" applyFont="1" applyFill="1" applyBorder="1"/>
    <xf numFmtId="0" fontId="43" fillId="0" borderId="0" xfId="3" applyFont="1" applyFill="1" applyBorder="1"/>
    <xf numFmtId="0" fontId="42" fillId="0" borderId="0" xfId="3" applyFont="1" applyFill="1" applyBorder="1"/>
    <xf numFmtId="0" fontId="25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 applyProtection="1">
      <alignment horizontal="center" vertical="center"/>
      <protection locked="0"/>
    </xf>
    <xf numFmtId="0" fontId="43" fillId="0" borderId="0" xfId="3" applyFont="1" applyFill="1" applyBorder="1" applyAlignment="1">
      <alignment vertical="center"/>
    </xf>
    <xf numFmtId="0" fontId="43" fillId="0" borderId="0" xfId="3" applyFont="1" applyAlignment="1">
      <alignment vertical="center"/>
    </xf>
    <xf numFmtId="0" fontId="38" fillId="0" borderId="0" xfId="3" applyFont="1" applyFill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19" fillId="0" borderId="0" xfId="3" applyFont="1" applyBorder="1"/>
    <xf numFmtId="0" fontId="38" fillId="0" borderId="0" xfId="3" applyFont="1" applyFill="1" applyBorder="1" applyAlignment="1">
      <alignment vertical="center"/>
    </xf>
    <xf numFmtId="0" fontId="16" fillId="0" borderId="0" xfId="3" applyFont="1" applyBorder="1" applyAlignment="1">
      <alignment horizontal="left" vertical="top" wrapText="1"/>
    </xf>
    <xf numFmtId="0" fontId="21" fillId="0" borderId="0" xfId="3" applyFont="1" applyFill="1" applyBorder="1" applyAlignment="1">
      <alignment horizontal="center" vertical="center"/>
    </xf>
    <xf numFmtId="168" fontId="14" fillId="0" borderId="0" xfId="3" applyNumberFormat="1" applyFont="1" applyBorder="1"/>
    <xf numFmtId="168" fontId="22" fillId="0" borderId="0" xfId="0" applyNumberFormat="1" applyFont="1" applyBorder="1"/>
    <xf numFmtId="168" fontId="14" fillId="0" borderId="0" xfId="0" applyNumberFormat="1" applyFont="1" applyBorder="1"/>
    <xf numFmtId="170" fontId="14" fillId="0" borderId="0" xfId="0" applyNumberFormat="1" applyFont="1" applyBorder="1"/>
    <xf numFmtId="0" fontId="17" fillId="0" borderId="0" xfId="3" applyFont="1" applyFill="1" applyBorder="1" applyAlignment="1">
      <alignment horizontal="left" vertical="top" wrapText="1"/>
    </xf>
    <xf numFmtId="1" fontId="22" fillId="0" borderId="0" xfId="3" applyNumberFormat="1" applyFont="1" applyFill="1" applyBorder="1"/>
    <xf numFmtId="168" fontId="1" fillId="0" borderId="14" xfId="1" applyNumberFormat="1" applyFont="1" applyFill="1" applyBorder="1"/>
    <xf numFmtId="168" fontId="6" fillId="0" borderId="14" xfId="0" applyNumberFormat="1" applyFont="1" applyFill="1" applyBorder="1"/>
    <xf numFmtId="0" fontId="8" fillId="6" borderId="0" xfId="0" applyFont="1" applyFill="1" applyBorder="1" applyAlignment="1">
      <alignment horizontal="center" vertical="center" wrapText="1"/>
    </xf>
    <xf numFmtId="0" fontId="8" fillId="8" borderId="14" xfId="3" applyFont="1" applyFill="1" applyBorder="1" applyAlignment="1">
      <alignment horizontal="center" vertical="center"/>
    </xf>
    <xf numFmtId="9" fontId="22" fillId="0" borderId="28" xfId="2" applyFont="1" applyBorder="1"/>
    <xf numFmtId="0" fontId="48" fillId="4" borderId="0" xfId="3" applyFont="1" applyFill="1" applyAlignment="1">
      <alignment horizontal="right" vertical="center"/>
    </xf>
    <xf numFmtId="0" fontId="46" fillId="4" borderId="0" xfId="3" applyFont="1" applyFill="1" applyAlignment="1">
      <alignment horizontal="right" vertical="center"/>
    </xf>
    <xf numFmtId="0" fontId="35" fillId="4" borderId="38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center" vertical="center" wrapText="1"/>
    </xf>
    <xf numFmtId="0" fontId="35" fillId="4" borderId="39" xfId="0" applyFont="1" applyFill="1" applyBorder="1" applyAlignment="1">
      <alignment horizontal="center" vertical="center" wrapText="1"/>
    </xf>
    <xf numFmtId="168" fontId="35" fillId="4" borderId="35" xfId="3" applyNumberFormat="1" applyFont="1" applyFill="1" applyBorder="1" applyAlignment="1">
      <alignment horizontal="center" vertical="center"/>
    </xf>
    <xf numFmtId="168" fontId="35" fillId="4" borderId="36" xfId="3" applyNumberFormat="1" applyFont="1" applyFill="1" applyBorder="1" applyAlignment="1">
      <alignment horizontal="center" vertical="center"/>
    </xf>
    <xf numFmtId="168" fontId="35" fillId="4" borderId="37" xfId="3" applyNumberFormat="1" applyFont="1" applyFill="1" applyBorder="1" applyAlignment="1">
      <alignment horizontal="center" vertical="center"/>
    </xf>
    <xf numFmtId="168" fontId="35" fillId="4" borderId="38" xfId="3" applyNumberFormat="1" applyFont="1" applyFill="1" applyBorder="1" applyAlignment="1">
      <alignment horizontal="center" vertical="center"/>
    </xf>
    <xf numFmtId="168" fontId="35" fillId="4" borderId="0" xfId="3" applyNumberFormat="1" applyFont="1" applyFill="1" applyBorder="1" applyAlignment="1">
      <alignment horizontal="center" vertical="center"/>
    </xf>
    <xf numFmtId="168" fontId="35" fillId="4" borderId="39" xfId="3" applyNumberFormat="1" applyFont="1" applyFill="1" applyBorder="1" applyAlignment="1">
      <alignment horizontal="center" vertical="center"/>
    </xf>
    <xf numFmtId="0" fontId="38" fillId="0" borderId="0" xfId="3" applyFont="1" applyAlignment="1">
      <alignment horizontal="center" vertical="center" wrapText="1"/>
    </xf>
    <xf numFmtId="0" fontId="26" fillId="10" borderId="36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2" xfId="0" applyFont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7" fillId="0" borderId="0" xfId="3" applyFont="1" applyAlignment="1">
      <alignment vertical="center" wrapText="1"/>
    </xf>
    <xf numFmtId="0" fontId="48" fillId="4" borderId="0" xfId="3" applyFont="1" applyFill="1" applyAlignment="1">
      <alignment horizontal="center" vertical="center"/>
    </xf>
    <xf numFmtId="0" fontId="14" fillId="0" borderId="18" xfId="3" applyFont="1" applyBorder="1" applyAlignment="1">
      <alignment vertical="center" wrapText="1"/>
    </xf>
    <xf numFmtId="0" fontId="14" fillId="4" borderId="15" xfId="3" applyFont="1" applyFill="1" applyBorder="1" applyAlignment="1">
      <alignment vertical="center" wrapText="1"/>
    </xf>
    <xf numFmtId="0" fontId="16" fillId="2" borderId="15" xfId="3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16" fillId="0" borderId="0" xfId="3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4" borderId="0" xfId="3" applyFont="1" applyFill="1" applyAlignment="1">
      <alignment wrapText="1"/>
    </xf>
    <xf numFmtId="0" fontId="14" fillId="0" borderId="0" xfId="3" applyFont="1" applyFill="1" applyBorder="1" applyAlignment="1">
      <alignment wrapText="1"/>
    </xf>
    <xf numFmtId="0" fontId="19" fillId="0" borderId="0" xfId="3" applyFont="1" applyFill="1" applyBorder="1" applyAlignment="1">
      <alignment wrapText="1"/>
    </xf>
    <xf numFmtId="0" fontId="22" fillId="0" borderId="0" xfId="3" applyFont="1" applyFill="1" applyBorder="1" applyAlignment="1">
      <alignment vertical="center" wrapText="1"/>
    </xf>
    <xf numFmtId="0" fontId="19" fillId="0" borderId="0" xfId="3" applyFont="1" applyFill="1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wrapText="1"/>
    </xf>
    <xf numFmtId="0" fontId="16" fillId="0" borderId="15" xfId="3" applyFont="1" applyFill="1" applyBorder="1" applyAlignment="1">
      <alignment vertical="center" wrapText="1"/>
    </xf>
    <xf numFmtId="9" fontId="41" fillId="0" borderId="0" xfId="4" applyFont="1" applyFill="1" applyBorder="1" applyAlignment="1" applyProtection="1">
      <alignment horizontal="center" vertical="center"/>
      <protection locked="0"/>
    </xf>
    <xf numFmtId="0" fontId="50" fillId="0" borderId="15" xfId="3" applyFont="1" applyBorder="1" applyAlignment="1">
      <alignment vertical="center" wrapText="1"/>
    </xf>
    <xf numFmtId="0" fontId="50" fillId="0" borderId="15" xfId="3" quotePrefix="1" applyFont="1" applyBorder="1" applyAlignment="1">
      <alignment vertical="center" wrapText="1"/>
    </xf>
    <xf numFmtId="0" fontId="16" fillId="0" borderId="0" xfId="0" quotePrefix="1" applyFont="1" applyBorder="1" applyAlignment="1">
      <alignment horizontal="right" vertical="center" wrapText="1"/>
    </xf>
    <xf numFmtId="0" fontId="4" fillId="20" borderId="0" xfId="0" applyFont="1" applyFill="1"/>
    <xf numFmtId="0" fontId="0" fillId="20" borderId="0" xfId="0" applyFill="1"/>
    <xf numFmtId="10" fontId="0" fillId="20" borderId="0" xfId="2" applyNumberFormat="1" applyFont="1" applyFill="1"/>
    <xf numFmtId="0" fontId="4" fillId="21" borderId="0" xfId="0" applyFont="1" applyFill="1" applyAlignment="1">
      <alignment horizontal="center" vertical="center"/>
    </xf>
    <xf numFmtId="0" fontId="0" fillId="21" borderId="0" xfId="0" applyFill="1" applyAlignment="1">
      <alignment vertical="center" wrapText="1"/>
    </xf>
    <xf numFmtId="10" fontId="0" fillId="21" borderId="0" xfId="2" applyNumberFormat="1" applyFont="1" applyFill="1" applyAlignment="1">
      <alignment vertical="center" wrapText="1"/>
    </xf>
    <xf numFmtId="0" fontId="48" fillId="4" borderId="0" xfId="3" applyFont="1" applyFill="1" applyAlignment="1">
      <alignment horizontal="left" vertical="center"/>
    </xf>
    <xf numFmtId="9" fontId="25" fillId="5" borderId="0" xfId="3" applyNumberFormat="1" applyFont="1" applyFill="1" applyBorder="1" applyProtection="1">
      <protection locked="0"/>
    </xf>
  </cellXfs>
  <cellStyles count="5">
    <cellStyle name="Prozent" xfId="2" builtinId="5"/>
    <cellStyle name="Prozent 2" xfId="4"/>
    <cellStyle name="Standard" xfId="0" builtinId="0"/>
    <cellStyle name="Standard 2" xfId="3"/>
    <cellStyle name="Währung" xfId="1" builtinId="4"/>
  </cellStyles>
  <dxfs count="17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CD4D4"/>
      <color rgb="FFCCFFCC"/>
      <color rgb="FFF9B1B1"/>
      <color rgb="FFF68E8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19444855145937E-2"/>
          <c:y val="3.4546485084384397E-2"/>
          <c:w val="0.91284814638955802"/>
          <c:h val="0.78579832496683621"/>
        </c:manualLayout>
      </c:layout>
      <c:lineChart>
        <c:grouping val="standard"/>
        <c:varyColors val="0"/>
        <c:ser>
          <c:idx val="12"/>
          <c:order val="0"/>
          <c:tx>
            <c:v>VERMÖGEN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FINANZPLAN!$AE$80:$AE$199</c:f>
              <c:numCache>
                <c:formatCode>General</c:formatCode>
                <c:ptCount val="12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  <c:pt idx="62">
                  <c:v>90</c:v>
                </c:pt>
                <c:pt idx="63">
                  <c:v>91</c:v>
                </c:pt>
                <c:pt idx="64">
                  <c:v>92</c:v>
                </c:pt>
                <c:pt idx="65">
                  <c:v>93</c:v>
                </c:pt>
                <c:pt idx="66">
                  <c:v>94</c:v>
                </c:pt>
                <c:pt idx="67">
                  <c:v>95</c:v>
                </c:pt>
                <c:pt idx="68">
                  <c:v>96</c:v>
                </c:pt>
                <c:pt idx="69">
                  <c:v>97</c:v>
                </c:pt>
                <c:pt idx="70">
                  <c:v>98</c:v>
                </c:pt>
                <c:pt idx="71">
                  <c:v>99</c:v>
                </c:pt>
                <c:pt idx="72">
                  <c:v>100</c:v>
                </c:pt>
                <c:pt idx="73">
                  <c:v>101</c:v>
                </c:pt>
                <c:pt idx="74">
                  <c:v>102</c:v>
                </c:pt>
                <c:pt idx="75">
                  <c:v>103</c:v>
                </c:pt>
                <c:pt idx="76">
                  <c:v>104</c:v>
                </c:pt>
                <c:pt idx="77">
                  <c:v>105</c:v>
                </c:pt>
                <c:pt idx="78">
                  <c:v>106</c:v>
                </c:pt>
                <c:pt idx="79">
                  <c:v>107</c:v>
                </c:pt>
                <c:pt idx="80">
                  <c:v>108</c:v>
                </c:pt>
                <c:pt idx="81">
                  <c:v>109</c:v>
                </c:pt>
                <c:pt idx="82">
                  <c:v>110</c:v>
                </c:pt>
                <c:pt idx="83">
                  <c:v>111</c:v>
                </c:pt>
                <c:pt idx="84">
                  <c:v>112</c:v>
                </c:pt>
                <c:pt idx="85">
                  <c:v>113</c:v>
                </c:pt>
                <c:pt idx="86">
                  <c:v>114</c:v>
                </c:pt>
                <c:pt idx="87">
                  <c:v>115</c:v>
                </c:pt>
                <c:pt idx="88">
                  <c:v>116</c:v>
                </c:pt>
                <c:pt idx="89">
                  <c:v>117</c:v>
                </c:pt>
                <c:pt idx="90">
                  <c:v>118</c:v>
                </c:pt>
                <c:pt idx="91">
                  <c:v>119</c:v>
                </c:pt>
                <c:pt idx="92">
                  <c:v>120</c:v>
                </c:pt>
                <c:pt idx="93">
                  <c:v>121</c:v>
                </c:pt>
                <c:pt idx="94">
                  <c:v>122</c:v>
                </c:pt>
                <c:pt idx="95">
                  <c:v>123</c:v>
                </c:pt>
                <c:pt idx="96">
                  <c:v>124</c:v>
                </c:pt>
                <c:pt idx="97">
                  <c:v>125</c:v>
                </c:pt>
                <c:pt idx="98">
                  <c:v>126</c:v>
                </c:pt>
                <c:pt idx="99">
                  <c:v>127</c:v>
                </c:pt>
                <c:pt idx="100">
                  <c:v>128</c:v>
                </c:pt>
                <c:pt idx="101">
                  <c:v>129</c:v>
                </c:pt>
                <c:pt idx="102">
                  <c:v>130</c:v>
                </c:pt>
                <c:pt idx="103">
                  <c:v>131</c:v>
                </c:pt>
                <c:pt idx="104">
                  <c:v>132</c:v>
                </c:pt>
                <c:pt idx="105">
                  <c:v>133</c:v>
                </c:pt>
                <c:pt idx="106">
                  <c:v>134</c:v>
                </c:pt>
                <c:pt idx="107">
                  <c:v>135</c:v>
                </c:pt>
                <c:pt idx="108">
                  <c:v>136</c:v>
                </c:pt>
                <c:pt idx="109">
                  <c:v>137</c:v>
                </c:pt>
                <c:pt idx="110">
                  <c:v>138</c:v>
                </c:pt>
                <c:pt idx="111">
                  <c:v>139</c:v>
                </c:pt>
                <c:pt idx="112">
                  <c:v>140</c:v>
                </c:pt>
                <c:pt idx="113">
                  <c:v>141</c:v>
                </c:pt>
                <c:pt idx="114">
                  <c:v>142</c:v>
                </c:pt>
                <c:pt idx="115">
                  <c:v>143</c:v>
                </c:pt>
                <c:pt idx="116">
                  <c:v>144</c:v>
                </c:pt>
                <c:pt idx="117">
                  <c:v>145</c:v>
                </c:pt>
                <c:pt idx="118">
                  <c:v>146</c:v>
                </c:pt>
                <c:pt idx="119">
                  <c:v>147</c:v>
                </c:pt>
              </c:numCache>
            </c:numRef>
          </c:cat>
          <c:val>
            <c:numRef>
              <c:f>FINANZPLAN!$BJ$80:$BJ$199</c:f>
              <c:numCache>
                <c:formatCode>#,##0\ [$€-407]</c:formatCode>
                <c:ptCount val="120"/>
                <c:pt idx="0">
                  <c:v>27043.199999999997</c:v>
                </c:pt>
                <c:pt idx="1">
                  <c:v>54916.392719999974</c:v>
                </c:pt>
                <c:pt idx="2">
                  <c:v>96286.920317711934</c:v>
                </c:pt>
                <c:pt idx="3">
                  <c:v>111252.32745694916</c:v>
                </c:pt>
                <c:pt idx="4">
                  <c:v>143873.89268887258</c:v>
                </c:pt>
                <c:pt idx="5">
                  <c:v>200075.3032124943</c:v>
                </c:pt>
                <c:pt idx="6">
                  <c:v>229110.15903648664</c:v>
                </c:pt>
                <c:pt idx="7">
                  <c:v>348479.26894325938</c:v>
                </c:pt>
                <c:pt idx="8">
                  <c:v>520077.62731683388</c:v>
                </c:pt>
                <c:pt idx="9">
                  <c:v>623862.44862734317</c:v>
                </c:pt>
                <c:pt idx="10">
                  <c:v>787206.17711308401</c:v>
                </c:pt>
                <c:pt idx="11">
                  <c:v>932989.18735839706</c:v>
                </c:pt>
                <c:pt idx="12">
                  <c:v>780144.18292694364</c:v>
                </c:pt>
                <c:pt idx="13">
                  <c:v>935308.21665204526</c:v>
                </c:pt>
                <c:pt idx="14">
                  <c:v>892949.58676421817</c:v>
                </c:pt>
                <c:pt idx="15">
                  <c:v>1106853.5807496931</c:v>
                </c:pt>
                <c:pt idx="16">
                  <c:v>1171513.1162979426</c:v>
                </c:pt>
                <c:pt idx="17">
                  <c:v>1332260.458450627</c:v>
                </c:pt>
                <c:pt idx="18">
                  <c:v>1423772.7806830453</c:v>
                </c:pt>
                <c:pt idx="19">
                  <c:v>1557211.5301081962</c:v>
                </c:pt>
                <c:pt idx="20">
                  <c:v>1838360.5004608759</c:v>
                </c:pt>
                <c:pt idx="21">
                  <c:v>2187017.1673139334</c:v>
                </c:pt>
                <c:pt idx="22">
                  <c:v>1793495.8140726408</c:v>
                </c:pt>
                <c:pt idx="23">
                  <c:v>1402339.4952013963</c:v>
                </c:pt>
                <c:pt idx="24">
                  <c:v>1050409.7946515298</c:v>
                </c:pt>
                <c:pt idx="25">
                  <c:v>1316198.2491827169</c:v>
                </c:pt>
                <c:pt idx="26">
                  <c:v>1419392.4752839066</c:v>
                </c:pt>
                <c:pt idx="27">
                  <c:v>1456741.9872798615</c:v>
                </c:pt>
                <c:pt idx="28">
                  <c:v>1646612.443858797</c:v>
                </c:pt>
                <c:pt idx="29">
                  <c:v>1684298.2823123613</c:v>
                </c:pt>
                <c:pt idx="30">
                  <c:v>907938.21395797411</c:v>
                </c:pt>
                <c:pt idx="31">
                  <c:v>1086858.1797390226</c:v>
                </c:pt>
                <c:pt idx="32">
                  <c:v>1123131.6723044363</c:v>
                </c:pt>
                <c:pt idx="33">
                  <c:v>982355.392032634</c:v>
                </c:pt>
                <c:pt idx="34">
                  <c:v>1041244.8816623557</c:v>
                </c:pt>
                <c:pt idx="35">
                  <c:v>1220014.494935055</c:v>
                </c:pt>
                <c:pt idx="36">
                  <c:v>1193635.001849056</c:v>
                </c:pt>
                <c:pt idx="37">
                  <c:v>1100048.4893619358</c:v>
                </c:pt>
                <c:pt idx="38">
                  <c:v>1089316.3931058287</c:v>
                </c:pt>
                <c:pt idx="39">
                  <c:v>1229487.2786033878</c:v>
                </c:pt>
                <c:pt idx="40">
                  <c:v>1035696.6728726127</c:v>
                </c:pt>
                <c:pt idx="41">
                  <c:v>1214097.9430680247</c:v>
                </c:pt>
                <c:pt idx="42">
                  <c:v>1300445.9768176181</c:v>
                </c:pt>
                <c:pt idx="43">
                  <c:v>1476094.641565199</c:v>
                </c:pt>
                <c:pt idx="44">
                  <c:v>1319769.6140551469</c:v>
                </c:pt>
                <c:pt idx="45">
                  <c:v>1435311.4914941562</c:v>
                </c:pt>
                <c:pt idx="46">
                  <c:v>1629545.2596749533</c:v>
                </c:pt>
                <c:pt idx="47">
                  <c:v>1273783.9289569187</c:v>
                </c:pt>
                <c:pt idx="48">
                  <c:v>839967.30485198309</c:v>
                </c:pt>
                <c:pt idx="49">
                  <c:v>984122.5796758217</c:v>
                </c:pt>
                <c:pt idx="50">
                  <c:v>988122.00982567295</c:v>
                </c:pt>
                <c:pt idx="51">
                  <c:v>878545.56648086896</c:v>
                </c:pt>
                <c:pt idx="52">
                  <c:v>886635.446372331</c:v>
                </c:pt>
                <c:pt idx="53">
                  <c:v>854218.47047150007</c:v>
                </c:pt>
                <c:pt idx="54">
                  <c:v>927099.62955415912</c:v>
                </c:pt>
                <c:pt idx="55">
                  <c:v>759770.40873930336</c:v>
                </c:pt>
                <c:pt idx="56">
                  <c:v>704916.14414075832</c:v>
                </c:pt>
                <c:pt idx="57">
                  <c:v>717952.27234878682</c:v>
                </c:pt>
                <c:pt idx="58">
                  <c:v>629706.73274938518</c:v>
                </c:pt>
                <c:pt idx="59">
                  <c:v>739184.20511447126</c:v>
                </c:pt>
                <c:pt idx="60">
                  <c:v>901808.156846122</c:v>
                </c:pt>
                <c:pt idx="61">
                  <c:v>903970.45875247719</c:v>
                </c:pt>
                <c:pt idx="62">
                  <c:v>963186.5043407518</c:v>
                </c:pt>
                <c:pt idx="63">
                  <c:v>970483.45661400142</c:v>
                </c:pt>
                <c:pt idx="64">
                  <c:v>672790.49614070705</c:v>
                </c:pt>
                <c:pt idx="65">
                  <c:v>646748.03899395489</c:v>
                </c:pt>
                <c:pt idx="66">
                  <c:v>478091.56763249153</c:v>
                </c:pt>
                <c:pt idx="67">
                  <c:v>438084.00956628489</c:v>
                </c:pt>
                <c:pt idx="68">
                  <c:v>324255.28640540026</c:v>
                </c:pt>
                <c:pt idx="69">
                  <c:v>248378.76176111092</c:v>
                </c:pt>
                <c:pt idx="70">
                  <c:v>142567.39783542283</c:v>
                </c:pt>
                <c:pt idx="71">
                  <c:v>24542.860385570384</c:v>
                </c:pt>
                <c:pt idx="72">
                  <c:v>-111479.20046948019</c:v>
                </c:pt>
                <c:pt idx="73">
                  <c:v>-282826.83987118874</c:v>
                </c:pt>
                <c:pt idx="74">
                  <c:v>-391728.72772674088</c:v>
                </c:pt>
                <c:pt idx="75">
                  <c:v>-474166.3041029122</c:v>
                </c:pt>
                <c:pt idx="76">
                  <c:v>-530323.44900090748</c:v>
                </c:pt>
                <c:pt idx="77">
                  <c:v>-853558.6765396652</c:v>
                </c:pt>
                <c:pt idx="78">
                  <c:v>-1126918.721829623</c:v>
                </c:pt>
                <c:pt idx="79">
                  <c:v>-1379894.3073108834</c:v>
                </c:pt>
                <c:pt idx="80">
                  <c:v>-1799482.5700616422</c:v>
                </c:pt>
                <c:pt idx="81">
                  <c:v>-2103181.5738252914</c:v>
                </c:pt>
                <c:pt idx="82">
                  <c:v>-1398601.1887990534</c:v>
                </c:pt>
                <c:pt idx="83">
                  <c:v>-1960811.8083537957</c:v>
                </c:pt>
                <c:pt idx="84">
                  <c:v>-2337476.4719407805</c:v>
                </c:pt>
                <c:pt idx="85">
                  <c:v>-2353653.0045635668</c:v>
                </c:pt>
                <c:pt idx="86">
                  <c:v>-2862689.3455247791</c:v>
                </c:pt>
                <c:pt idx="87">
                  <c:v>-3756306.6189565784</c:v>
                </c:pt>
                <c:pt idx="88">
                  <c:v>-4075080.621572841</c:v>
                </c:pt>
                <c:pt idx="89">
                  <c:v>-4177266.5209159716</c:v>
                </c:pt>
                <c:pt idx="90">
                  <c:v>-4618595.9856520491</c:v>
                </c:pt>
                <c:pt idx="91">
                  <c:v>-5771880.3415714726</c:v>
                </c:pt>
                <c:pt idx="92">
                  <c:v>-5399299.8251107279</c:v>
                </c:pt>
                <c:pt idx="93">
                  <c:v>-6995042.9120060373</c:v>
                </c:pt>
                <c:pt idx="94">
                  <c:v>-8220001.0515029291</c:v>
                </c:pt>
                <c:pt idx="95">
                  <c:v>-10122903.467970287</c:v>
                </c:pt>
                <c:pt idx="96">
                  <c:v>-9798366.0015499331</c:v>
                </c:pt>
                <c:pt idx="97">
                  <c:v>-11585648.371547883</c:v>
                </c:pt>
                <c:pt idx="98">
                  <c:v>-14164252.102050344</c:v>
                </c:pt>
                <c:pt idx="99">
                  <c:v>-12017655.618037859</c:v>
                </c:pt>
                <c:pt idx="100">
                  <c:v>-8952511.4817925692</c:v>
                </c:pt>
                <c:pt idx="101">
                  <c:v>-11826929.839894224</c:v>
                </c:pt>
                <c:pt idx="102">
                  <c:v>-13339581.812688606</c:v>
                </c:pt>
                <c:pt idx="103">
                  <c:v>-13311946.409953782</c:v>
                </c:pt>
                <c:pt idx="104">
                  <c:v>-15307821.254476646</c:v>
                </c:pt>
                <c:pt idx="105">
                  <c:v>-16727020.311377684</c:v>
                </c:pt>
                <c:pt idx="106">
                  <c:v>-20639917.053538751</c:v>
                </c:pt>
                <c:pt idx="107">
                  <c:v>-19336479.45225032</c:v>
                </c:pt>
                <c:pt idx="108">
                  <c:v>-20801269.428257298</c:v>
                </c:pt>
                <c:pt idx="109">
                  <c:v>-25009757.253827386</c:v>
                </c:pt>
                <c:pt idx="110">
                  <c:v>-25808774.861040216</c:v>
                </c:pt>
                <c:pt idx="111">
                  <c:v>-35728313.395334944</c:v>
                </c:pt>
                <c:pt idx="112">
                  <c:v>-50075789.799643397</c:v>
                </c:pt>
                <c:pt idx="113">
                  <c:v>-57640017.241366468</c:v>
                </c:pt>
                <c:pt idx="114">
                  <c:v>-70246750.974401668</c:v>
                </c:pt>
                <c:pt idx="115">
                  <c:v>-81010650.15396224</c:v>
                </c:pt>
                <c:pt idx="116">
                  <c:v>-66314596.910301313</c:v>
                </c:pt>
                <c:pt idx="117">
                  <c:v>-77347541.270408854</c:v>
                </c:pt>
                <c:pt idx="118">
                  <c:v>-72257963.893964782</c:v>
                </c:pt>
                <c:pt idx="119">
                  <c:v>-87435086.668322846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F5-8840-AF23-AA659F405112}"/>
            </c:ext>
          </c:extLst>
        </c:ser>
        <c:ser>
          <c:idx val="0"/>
          <c:order val="1"/>
          <c:tx>
            <c:v>EINNAHMEN</c:v>
          </c:tx>
          <c:spPr>
            <a:ln w="12700" cap="rnd">
              <a:solidFill>
                <a:srgbClr val="CCFFCC"/>
              </a:solidFill>
              <a:round/>
            </a:ln>
            <a:effectLst/>
          </c:spPr>
          <c:marker>
            <c:symbol val="none"/>
          </c:marker>
          <c:cat>
            <c:numRef>
              <c:f>FINANZPLAN!$AE$80:$AE$199</c:f>
              <c:numCache>
                <c:formatCode>General</c:formatCode>
                <c:ptCount val="12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  <c:pt idx="62">
                  <c:v>90</c:v>
                </c:pt>
                <c:pt idx="63">
                  <c:v>91</c:v>
                </c:pt>
                <c:pt idx="64">
                  <c:v>92</c:v>
                </c:pt>
                <c:pt idx="65">
                  <c:v>93</c:v>
                </c:pt>
                <c:pt idx="66">
                  <c:v>94</c:v>
                </c:pt>
                <c:pt idx="67">
                  <c:v>95</c:v>
                </c:pt>
                <c:pt idx="68">
                  <c:v>96</c:v>
                </c:pt>
                <c:pt idx="69">
                  <c:v>97</c:v>
                </c:pt>
                <c:pt idx="70">
                  <c:v>98</c:v>
                </c:pt>
                <c:pt idx="71">
                  <c:v>99</c:v>
                </c:pt>
                <c:pt idx="72">
                  <c:v>100</c:v>
                </c:pt>
                <c:pt idx="73">
                  <c:v>101</c:v>
                </c:pt>
                <c:pt idx="74">
                  <c:v>102</c:v>
                </c:pt>
                <c:pt idx="75">
                  <c:v>103</c:v>
                </c:pt>
                <c:pt idx="76">
                  <c:v>104</c:v>
                </c:pt>
                <c:pt idx="77">
                  <c:v>105</c:v>
                </c:pt>
                <c:pt idx="78">
                  <c:v>106</c:v>
                </c:pt>
                <c:pt idx="79">
                  <c:v>107</c:v>
                </c:pt>
                <c:pt idx="80">
                  <c:v>108</c:v>
                </c:pt>
                <c:pt idx="81">
                  <c:v>109</c:v>
                </c:pt>
                <c:pt idx="82">
                  <c:v>110</c:v>
                </c:pt>
                <c:pt idx="83">
                  <c:v>111</c:v>
                </c:pt>
                <c:pt idx="84">
                  <c:v>112</c:v>
                </c:pt>
                <c:pt idx="85">
                  <c:v>113</c:v>
                </c:pt>
                <c:pt idx="86">
                  <c:v>114</c:v>
                </c:pt>
                <c:pt idx="87">
                  <c:v>115</c:v>
                </c:pt>
                <c:pt idx="88">
                  <c:v>116</c:v>
                </c:pt>
                <c:pt idx="89">
                  <c:v>117</c:v>
                </c:pt>
                <c:pt idx="90">
                  <c:v>118</c:v>
                </c:pt>
                <c:pt idx="91">
                  <c:v>119</c:v>
                </c:pt>
                <c:pt idx="92">
                  <c:v>120</c:v>
                </c:pt>
                <c:pt idx="93">
                  <c:v>121</c:v>
                </c:pt>
                <c:pt idx="94">
                  <c:v>122</c:v>
                </c:pt>
                <c:pt idx="95">
                  <c:v>123</c:v>
                </c:pt>
                <c:pt idx="96">
                  <c:v>124</c:v>
                </c:pt>
                <c:pt idx="97">
                  <c:v>125</c:v>
                </c:pt>
                <c:pt idx="98">
                  <c:v>126</c:v>
                </c:pt>
                <c:pt idx="99">
                  <c:v>127</c:v>
                </c:pt>
                <c:pt idx="100">
                  <c:v>128</c:v>
                </c:pt>
                <c:pt idx="101">
                  <c:v>129</c:v>
                </c:pt>
                <c:pt idx="102">
                  <c:v>130</c:v>
                </c:pt>
                <c:pt idx="103">
                  <c:v>131</c:v>
                </c:pt>
                <c:pt idx="104">
                  <c:v>132</c:v>
                </c:pt>
                <c:pt idx="105">
                  <c:v>133</c:v>
                </c:pt>
                <c:pt idx="106">
                  <c:v>134</c:v>
                </c:pt>
                <c:pt idx="107">
                  <c:v>135</c:v>
                </c:pt>
                <c:pt idx="108">
                  <c:v>136</c:v>
                </c:pt>
                <c:pt idx="109">
                  <c:v>137</c:v>
                </c:pt>
                <c:pt idx="110">
                  <c:v>138</c:v>
                </c:pt>
                <c:pt idx="111">
                  <c:v>139</c:v>
                </c:pt>
                <c:pt idx="112">
                  <c:v>140</c:v>
                </c:pt>
                <c:pt idx="113">
                  <c:v>141</c:v>
                </c:pt>
                <c:pt idx="114">
                  <c:v>142</c:v>
                </c:pt>
                <c:pt idx="115">
                  <c:v>143</c:v>
                </c:pt>
                <c:pt idx="116">
                  <c:v>144</c:v>
                </c:pt>
                <c:pt idx="117">
                  <c:v>145</c:v>
                </c:pt>
                <c:pt idx="118">
                  <c:v>146</c:v>
                </c:pt>
                <c:pt idx="119">
                  <c:v>147</c:v>
                </c:pt>
              </c:numCache>
            </c:numRef>
          </c:cat>
          <c:val>
            <c:numRef>
              <c:f>FINANZPLAN!$BI$80:$BI$199</c:f>
              <c:numCache>
                <c:formatCode>#,##0\ [$€-407]</c:formatCode>
                <c:ptCount val="120"/>
                <c:pt idx="0">
                  <c:v>45043.199999999997</c:v>
                </c:pt>
                <c:pt idx="1">
                  <c:v>73366.392719999974</c:v>
                </c:pt>
                <c:pt idx="2">
                  <c:v>115198.17031771193</c:v>
                </c:pt>
                <c:pt idx="3">
                  <c:v>130636.35870694916</c:v>
                </c:pt>
                <c:pt idx="4">
                  <c:v>163742.52472012257</c:v>
                </c:pt>
                <c:pt idx="5">
                  <c:v>220440.65104452553</c:v>
                </c:pt>
                <c:pt idx="6">
                  <c:v>249984.64056431866</c:v>
                </c:pt>
                <c:pt idx="7">
                  <c:v>369875.6125092872</c:v>
                </c:pt>
                <c:pt idx="8">
                  <c:v>542008.8794720124</c:v>
                </c:pt>
                <c:pt idx="9">
                  <c:v>646341.9820864012</c:v>
                </c:pt>
                <c:pt idx="10">
                  <c:v>810247.69890861842</c:v>
                </c:pt>
                <c:pt idx="11">
                  <c:v>956606.74719881988</c:v>
                </c:pt>
                <c:pt idx="12">
                  <c:v>804352.18176337704</c:v>
                </c:pt>
                <c:pt idx="13">
                  <c:v>960121.41545938945</c:v>
                </c:pt>
                <c:pt idx="14">
                  <c:v>918383.11554174591</c:v>
                </c:pt>
                <c:pt idx="15">
                  <c:v>1132922.9477466592</c:v>
                </c:pt>
                <c:pt idx="16">
                  <c:v>1198234.2174698326</c:v>
                </c:pt>
                <c:pt idx="17">
                  <c:v>1390586.069045658</c:v>
                </c:pt>
                <c:pt idx="18">
                  <c:v>1488401.3841810406</c:v>
                </c:pt>
                <c:pt idx="19">
                  <c:v>1625521.3837058328</c:v>
                </c:pt>
                <c:pt idx="20">
                  <c:v>1911944.3166668434</c:v>
                </c:pt>
                <c:pt idx="21">
                  <c:v>2271478.2343694582</c:v>
                </c:pt>
                <c:pt idx="22">
                  <c:v>1879741.2553063256</c:v>
                </c:pt>
                <c:pt idx="23">
                  <c:v>1473715.5104234889</c:v>
                </c:pt>
                <c:pt idx="24">
                  <c:v>1107006.7975119823</c:v>
                </c:pt>
                <c:pt idx="25">
                  <c:v>1374041.0523836662</c:v>
                </c:pt>
                <c:pt idx="26">
                  <c:v>1485198.1043777778</c:v>
                </c:pt>
                <c:pt idx="27">
                  <c:v>1526698.54641537</c:v>
                </c:pt>
                <c:pt idx="28">
                  <c:v>1718227.1739965966</c:v>
                </c:pt>
                <c:pt idx="29">
                  <c:v>1763357.2661283857</c:v>
                </c:pt>
                <c:pt idx="30">
                  <c:v>975545.56511531956</c:v>
                </c:pt>
                <c:pt idx="31">
                  <c:v>1152899.9440838355</c:v>
                </c:pt>
                <c:pt idx="32">
                  <c:v>1190653.1359040991</c:v>
                </c:pt>
                <c:pt idx="33">
                  <c:v>1037661.3520420686</c:v>
                </c:pt>
                <c:pt idx="34">
                  <c:v>1111829.832702535</c:v>
                </c:pt>
                <c:pt idx="35">
                  <c:v>1292184.8981429837</c:v>
                </c:pt>
                <c:pt idx="36">
                  <c:v>1255760.9196366523</c:v>
                </c:pt>
                <c:pt idx="37">
                  <c:v>1160929.4027983919</c:v>
                </c:pt>
                <c:pt idx="38">
                  <c:v>1158571.0689959906</c:v>
                </c:pt>
                <c:pt idx="39">
                  <c:v>1308377.9197594109</c:v>
                </c:pt>
                <c:pt idx="40">
                  <c:v>1101128.8067171939</c:v>
                </c:pt>
                <c:pt idx="41">
                  <c:v>1296588.6647692239</c:v>
                </c:pt>
                <c:pt idx="42">
                  <c:v>1384800.113863389</c:v>
                </c:pt>
                <c:pt idx="43">
                  <c:v>1562355.7965486865</c:v>
                </c:pt>
                <c:pt idx="44">
                  <c:v>1391809.637531826</c:v>
                </c:pt>
                <c:pt idx="45">
                  <c:v>1525521.6968863443</c:v>
                </c:pt>
                <c:pt idx="46">
                  <c:v>1721799.6651963897</c:v>
                </c:pt>
                <c:pt idx="47">
                  <c:v>1351218.9293224714</c:v>
                </c:pt>
                <c:pt idx="48">
                  <c:v>919289.86152820825</c:v>
                </c:pt>
                <c:pt idx="49">
                  <c:v>1082801.8526846913</c:v>
                </c:pt>
                <c:pt idx="50">
                  <c:v>1085585.6176403989</c:v>
                </c:pt>
                <c:pt idx="51">
                  <c:v>963814.20838396146</c:v>
                </c:pt>
                <c:pt idx="52">
                  <c:v>989945.1443106432</c:v>
                </c:pt>
                <c:pt idx="53">
                  <c:v>950561.86205577606</c:v>
                </c:pt>
                <c:pt idx="54">
                  <c:v>1037533.7542346839</c:v>
                </c:pt>
                <c:pt idx="55">
                  <c:v>853673.33889346977</c:v>
                </c:pt>
                <c:pt idx="56">
                  <c:v>803989.04652793088</c:v>
                </c:pt>
                <c:pt idx="57">
                  <c:v>835748.58049328311</c:v>
                </c:pt>
                <c:pt idx="58">
                  <c:v>730660.02756936033</c:v>
                </c:pt>
                <c:pt idx="59">
                  <c:v>862824.1652132076</c:v>
                </c:pt>
                <c:pt idx="60">
                  <c:v>1028279.147734741</c:v>
                </c:pt>
                <c:pt idx="61">
                  <c:v>1031127.4465378559</c:v>
                </c:pt>
                <c:pt idx="62">
                  <c:v>1095521.7989621272</c:v>
                </c:pt>
                <c:pt idx="63">
                  <c:v>1105256.5137310126</c:v>
                </c:pt>
                <c:pt idx="64">
                  <c:v>789488.29195549013</c:v>
                </c:pt>
                <c:pt idx="65">
                  <c:v>780436.97552322014</c:v>
                </c:pt>
                <c:pt idx="66">
                  <c:v>600570.2290097865</c:v>
                </c:pt>
                <c:pt idx="67">
                  <c:v>575574.43827275652</c:v>
                </c:pt>
                <c:pt idx="68">
                  <c:v>452803.63228771207</c:v>
                </c:pt>
                <c:pt idx="69">
                  <c:v>384891.0249632101</c:v>
                </c:pt>
                <c:pt idx="70">
                  <c:v>277488.75263951311</c:v>
                </c:pt>
                <c:pt idx="71">
                  <c:v>162769.19810870223</c:v>
                </c:pt>
                <c:pt idx="72">
                  <c:v>30133.723981403316</c:v>
                </c:pt>
                <c:pt idx="73">
                  <c:v>-137743.70010008971</c:v>
                </c:pt>
                <c:pt idx="74">
                  <c:v>-243089.66886928672</c:v>
                </c:pt>
                <c:pt idx="75">
                  <c:v>-321883.49557306297</c:v>
                </c:pt>
                <c:pt idx="76">
                  <c:v>-374306.88045883889</c:v>
                </c:pt>
                <c:pt idx="77">
                  <c:v>-693716.10363808705</c:v>
                </c:pt>
                <c:pt idx="78">
                  <c:v>-963155.61060735828</c:v>
                </c:pt>
                <c:pt idx="79">
                  <c:v>-1212113.7771999426</c:v>
                </c:pt>
                <c:pt idx="80">
                  <c:v>-1627585.335473187</c:v>
                </c:pt>
                <c:pt idx="81">
                  <c:v>-1927065.8842790127</c:v>
                </c:pt>
                <c:pt idx="82">
                  <c:v>-1218162.7675596087</c:v>
                </c:pt>
                <c:pt idx="83">
                  <c:v>-1775943.7895370382</c:v>
                </c:pt>
                <c:pt idx="84">
                  <c:v>-2148069.3360515828</c:v>
                </c:pt>
                <c:pt idx="85">
                  <c:v>-2159594.5124260872</c:v>
                </c:pt>
                <c:pt idx="86">
                  <c:v>-2663864.4705650448</c:v>
                </c:pt>
                <c:pt idx="87">
                  <c:v>-3552597.477796251</c:v>
                </c:pt>
                <c:pt idx="88">
                  <c:v>-3866366.4028920066</c:v>
                </c:pt>
                <c:pt idx="89">
                  <c:v>-3963423.4125417452</c:v>
                </c:pt>
                <c:pt idx="90">
                  <c:v>-4399497.0998287005</c:v>
                </c:pt>
                <c:pt idx="91">
                  <c:v>-5547395.6383666769</c:v>
                </c:pt>
                <c:pt idx="92">
                  <c:v>-5169296.0339114107</c:v>
                </c:pt>
                <c:pt idx="93">
                  <c:v>-6759383.45105612</c:v>
                </c:pt>
                <c:pt idx="94">
                  <c:v>-7978545.945434087</c:v>
                </c:pt>
                <c:pt idx="95">
                  <c:v>-9875509.2632756196</c:v>
                </c:pt>
                <c:pt idx="96">
                  <c:v>-9544885.679949183</c:v>
                </c:pt>
                <c:pt idx="97">
                  <c:v>-11325931.261191567</c:v>
                </c:pt>
                <c:pt idx="98">
                  <c:v>-13898143.786508841</c:v>
                </c:pt>
                <c:pt idx="99">
                  <c:v>-11744997.843020145</c:v>
                </c:pt>
                <c:pt idx="100">
                  <c:v>-8673142.059537923</c:v>
                </c:pt>
                <c:pt idx="101">
                  <c:v>-11540682.5511788</c:v>
                </c:pt>
                <c:pt idx="102">
                  <c:v>-13046286.306387318</c:v>
                </c:pt>
                <c:pt idx="103">
                  <c:v>-13011428.100096466</c:v>
                </c:pt>
                <c:pt idx="104">
                  <c:v>-14999901.214735921</c:v>
                </c:pt>
                <c:pt idx="105">
                  <c:v>-16411515.166924413</c:v>
                </c:pt>
                <c:pt idx="106">
                  <c:v>-20316638.870199334</c:v>
                </c:pt>
                <c:pt idx="107">
                  <c:v>-19005235.622898482</c:v>
                </c:pt>
                <c:pt idx="108">
                  <c:v>-20461862.55637129</c:v>
                </c:pt>
                <c:pt idx="109">
                  <c:v>-24661985.034141853</c:v>
                </c:pt>
                <c:pt idx="110">
                  <c:v>-25452429.957220133</c:v>
                </c:pt>
                <c:pt idx="111">
                  <c:v>-35363183.314597309</c:v>
                </c:pt>
                <c:pt idx="112">
                  <c:v>-49701656.764250442</c:v>
                </c:pt>
                <c:pt idx="113">
                  <c:v>-57256658.056912258</c:v>
                </c:pt>
                <c:pt idx="114">
                  <c:v>-69853936.894812018</c:v>
                </c:pt>
                <c:pt idx="115">
                  <c:v>-80608146.743125916</c:v>
                </c:pt>
                <c:pt idx="116">
                  <c:v>-65902163.900248282</c:v>
                </c:pt>
                <c:pt idx="117">
                  <c:v>-76924932.415949523</c:v>
                </c:pt>
                <c:pt idx="118">
                  <c:v>-71824926.823701665</c:v>
                </c:pt>
                <c:pt idx="119">
                  <c:v>-86991362.731944203</c:v>
                </c:pt>
              </c:numCache>
            </c:numRef>
          </c:val>
          <c:smooth val="0"/>
        </c:ser>
        <c:ser>
          <c:idx val="1"/>
          <c:order val="2"/>
          <c:tx>
            <c:v>AUSGABEN</c:v>
          </c:tx>
          <c:spPr>
            <a:ln w="12700" cap="rnd">
              <a:solidFill>
                <a:srgbClr val="FCD4D4"/>
              </a:solidFill>
              <a:round/>
            </a:ln>
            <a:effectLst/>
          </c:spPr>
          <c:marker>
            <c:symbol val="none"/>
          </c:marker>
          <c:cat>
            <c:numRef>
              <c:f>FINANZPLAN!$AE$80:$AE$199</c:f>
              <c:numCache>
                <c:formatCode>General</c:formatCode>
                <c:ptCount val="120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54</c:v>
                </c:pt>
                <c:pt idx="27">
                  <c:v>55</c:v>
                </c:pt>
                <c:pt idx="28">
                  <c:v>56</c:v>
                </c:pt>
                <c:pt idx="29">
                  <c:v>57</c:v>
                </c:pt>
                <c:pt idx="30">
                  <c:v>58</c:v>
                </c:pt>
                <c:pt idx="31">
                  <c:v>59</c:v>
                </c:pt>
                <c:pt idx="32">
                  <c:v>60</c:v>
                </c:pt>
                <c:pt idx="33">
                  <c:v>61</c:v>
                </c:pt>
                <c:pt idx="34">
                  <c:v>62</c:v>
                </c:pt>
                <c:pt idx="35">
                  <c:v>63</c:v>
                </c:pt>
                <c:pt idx="36">
                  <c:v>64</c:v>
                </c:pt>
                <c:pt idx="37">
                  <c:v>65</c:v>
                </c:pt>
                <c:pt idx="38">
                  <c:v>66</c:v>
                </c:pt>
                <c:pt idx="39">
                  <c:v>67</c:v>
                </c:pt>
                <c:pt idx="40">
                  <c:v>68</c:v>
                </c:pt>
                <c:pt idx="41">
                  <c:v>69</c:v>
                </c:pt>
                <c:pt idx="42">
                  <c:v>70</c:v>
                </c:pt>
                <c:pt idx="43">
                  <c:v>71</c:v>
                </c:pt>
                <c:pt idx="44">
                  <c:v>72</c:v>
                </c:pt>
                <c:pt idx="45">
                  <c:v>73</c:v>
                </c:pt>
                <c:pt idx="46">
                  <c:v>74</c:v>
                </c:pt>
                <c:pt idx="47">
                  <c:v>75</c:v>
                </c:pt>
                <c:pt idx="48">
                  <c:v>76</c:v>
                </c:pt>
                <c:pt idx="49">
                  <c:v>77</c:v>
                </c:pt>
                <c:pt idx="50">
                  <c:v>78</c:v>
                </c:pt>
                <c:pt idx="51">
                  <c:v>79</c:v>
                </c:pt>
                <c:pt idx="52">
                  <c:v>80</c:v>
                </c:pt>
                <c:pt idx="53">
                  <c:v>81</c:v>
                </c:pt>
                <c:pt idx="54">
                  <c:v>82</c:v>
                </c:pt>
                <c:pt idx="55">
                  <c:v>83</c:v>
                </c:pt>
                <c:pt idx="56">
                  <c:v>84</c:v>
                </c:pt>
                <c:pt idx="57">
                  <c:v>85</c:v>
                </c:pt>
                <c:pt idx="58">
                  <c:v>86</c:v>
                </c:pt>
                <c:pt idx="59">
                  <c:v>87</c:v>
                </c:pt>
                <c:pt idx="60">
                  <c:v>88</c:v>
                </c:pt>
                <c:pt idx="61">
                  <c:v>89</c:v>
                </c:pt>
                <c:pt idx="62">
                  <c:v>90</c:v>
                </c:pt>
                <c:pt idx="63">
                  <c:v>91</c:v>
                </c:pt>
                <c:pt idx="64">
                  <c:v>92</c:v>
                </c:pt>
                <c:pt idx="65">
                  <c:v>93</c:v>
                </c:pt>
                <c:pt idx="66">
                  <c:v>94</c:v>
                </c:pt>
                <c:pt idx="67">
                  <c:v>95</c:v>
                </c:pt>
                <c:pt idx="68">
                  <c:v>96</c:v>
                </c:pt>
                <c:pt idx="69">
                  <c:v>97</c:v>
                </c:pt>
                <c:pt idx="70">
                  <c:v>98</c:v>
                </c:pt>
                <c:pt idx="71">
                  <c:v>99</c:v>
                </c:pt>
                <c:pt idx="72">
                  <c:v>100</c:v>
                </c:pt>
                <c:pt idx="73">
                  <c:v>101</c:v>
                </c:pt>
                <c:pt idx="74">
                  <c:v>102</c:v>
                </c:pt>
                <c:pt idx="75">
                  <c:v>103</c:v>
                </c:pt>
                <c:pt idx="76">
                  <c:v>104</c:v>
                </c:pt>
                <c:pt idx="77">
                  <c:v>105</c:v>
                </c:pt>
                <c:pt idx="78">
                  <c:v>106</c:v>
                </c:pt>
                <c:pt idx="79">
                  <c:v>107</c:v>
                </c:pt>
                <c:pt idx="80">
                  <c:v>108</c:v>
                </c:pt>
                <c:pt idx="81">
                  <c:v>109</c:v>
                </c:pt>
                <c:pt idx="82">
                  <c:v>110</c:v>
                </c:pt>
                <c:pt idx="83">
                  <c:v>111</c:v>
                </c:pt>
                <c:pt idx="84">
                  <c:v>112</c:v>
                </c:pt>
                <c:pt idx="85">
                  <c:v>113</c:v>
                </c:pt>
                <c:pt idx="86">
                  <c:v>114</c:v>
                </c:pt>
                <c:pt idx="87">
                  <c:v>115</c:v>
                </c:pt>
                <c:pt idx="88">
                  <c:v>116</c:v>
                </c:pt>
                <c:pt idx="89">
                  <c:v>117</c:v>
                </c:pt>
                <c:pt idx="90">
                  <c:v>118</c:v>
                </c:pt>
                <c:pt idx="91">
                  <c:v>119</c:v>
                </c:pt>
                <c:pt idx="92">
                  <c:v>120</c:v>
                </c:pt>
                <c:pt idx="93">
                  <c:v>121</c:v>
                </c:pt>
                <c:pt idx="94">
                  <c:v>122</c:v>
                </c:pt>
                <c:pt idx="95">
                  <c:v>123</c:v>
                </c:pt>
                <c:pt idx="96">
                  <c:v>124</c:v>
                </c:pt>
                <c:pt idx="97">
                  <c:v>125</c:v>
                </c:pt>
                <c:pt idx="98">
                  <c:v>126</c:v>
                </c:pt>
                <c:pt idx="99">
                  <c:v>127</c:v>
                </c:pt>
                <c:pt idx="100">
                  <c:v>128</c:v>
                </c:pt>
                <c:pt idx="101">
                  <c:v>129</c:v>
                </c:pt>
                <c:pt idx="102">
                  <c:v>130</c:v>
                </c:pt>
                <c:pt idx="103">
                  <c:v>131</c:v>
                </c:pt>
                <c:pt idx="104">
                  <c:v>132</c:v>
                </c:pt>
                <c:pt idx="105">
                  <c:v>133</c:v>
                </c:pt>
                <c:pt idx="106">
                  <c:v>134</c:v>
                </c:pt>
                <c:pt idx="107">
                  <c:v>135</c:v>
                </c:pt>
                <c:pt idx="108">
                  <c:v>136</c:v>
                </c:pt>
                <c:pt idx="109">
                  <c:v>137</c:v>
                </c:pt>
                <c:pt idx="110">
                  <c:v>138</c:v>
                </c:pt>
                <c:pt idx="111">
                  <c:v>139</c:v>
                </c:pt>
                <c:pt idx="112">
                  <c:v>140</c:v>
                </c:pt>
                <c:pt idx="113">
                  <c:v>141</c:v>
                </c:pt>
                <c:pt idx="114">
                  <c:v>142</c:v>
                </c:pt>
                <c:pt idx="115">
                  <c:v>143</c:v>
                </c:pt>
                <c:pt idx="116">
                  <c:v>144</c:v>
                </c:pt>
                <c:pt idx="117">
                  <c:v>145</c:v>
                </c:pt>
                <c:pt idx="118">
                  <c:v>146</c:v>
                </c:pt>
                <c:pt idx="119">
                  <c:v>147</c:v>
                </c:pt>
              </c:numCache>
            </c:numRef>
          </c:cat>
          <c:val>
            <c:numRef>
              <c:f>FINANZPLAN!$BH$80:$BH$199</c:f>
              <c:numCache>
                <c:formatCode>#,##0\ [$€-407]</c:formatCode>
                <c:ptCount val="120"/>
                <c:pt idx="0">
                  <c:v>18000</c:v>
                </c:pt>
                <c:pt idx="1">
                  <c:v>18450</c:v>
                </c:pt>
                <c:pt idx="2">
                  <c:v>18911.25</c:v>
                </c:pt>
                <c:pt idx="3">
                  <c:v>19384.031249999996</c:v>
                </c:pt>
                <c:pt idx="4">
                  <c:v>19868.632031249996</c:v>
                </c:pt>
                <c:pt idx="5">
                  <c:v>20365.347832031242</c:v>
                </c:pt>
                <c:pt idx="6">
                  <c:v>20874.481527832024</c:v>
                </c:pt>
                <c:pt idx="7">
                  <c:v>21396.343566027826</c:v>
                </c:pt>
                <c:pt idx="8">
                  <c:v>21931.252155178518</c:v>
                </c:pt>
                <c:pt idx="9">
                  <c:v>22479.533459057977</c:v>
                </c:pt>
                <c:pt idx="10">
                  <c:v>23041.521795534427</c:v>
                </c:pt>
                <c:pt idx="11">
                  <c:v>23617.559840422789</c:v>
                </c:pt>
                <c:pt idx="12">
                  <c:v>24207.998836433355</c:v>
                </c:pt>
                <c:pt idx="13">
                  <c:v>24813.19880734419</c:v>
                </c:pt>
                <c:pt idx="14">
                  <c:v>25433.52877752779</c:v>
                </c:pt>
                <c:pt idx="15">
                  <c:v>26069.36699696599</c:v>
                </c:pt>
                <c:pt idx="16">
                  <c:v>26721.101171890135</c:v>
                </c:pt>
                <c:pt idx="17">
                  <c:v>58325.610595030892</c:v>
                </c:pt>
                <c:pt idx="18">
                  <c:v>64628.603497995311</c:v>
                </c:pt>
                <c:pt idx="19">
                  <c:v>68309.853597636655</c:v>
                </c:pt>
                <c:pt idx="20">
                  <c:v>73583.816205967552</c:v>
                </c:pt>
                <c:pt idx="21">
                  <c:v>84461.067055524632</c:v>
                </c:pt>
                <c:pt idx="22">
                  <c:v>86245.441233684774</c:v>
                </c:pt>
                <c:pt idx="23">
                  <c:v>71376.015222092683</c:v>
                </c:pt>
                <c:pt idx="24">
                  <c:v>56597.002860452587</c:v>
                </c:pt>
                <c:pt idx="25">
                  <c:v>57842.803200949107</c:v>
                </c:pt>
                <c:pt idx="26">
                  <c:v>65805.629093871161</c:v>
                </c:pt>
                <c:pt idx="27">
                  <c:v>69956.559135508476</c:v>
                </c:pt>
                <c:pt idx="28">
                  <c:v>71614.730137799721</c:v>
                </c:pt>
                <c:pt idx="29">
                  <c:v>79058.983816024396</c:v>
                </c:pt>
                <c:pt idx="30">
                  <c:v>67607.351157345431</c:v>
                </c:pt>
                <c:pt idx="31">
                  <c:v>66041.764344812749</c:v>
                </c:pt>
                <c:pt idx="32">
                  <c:v>67521.463599662849</c:v>
                </c:pt>
                <c:pt idx="33">
                  <c:v>55305.960009434551</c:v>
                </c:pt>
                <c:pt idx="34">
                  <c:v>70584.951040179178</c:v>
                </c:pt>
                <c:pt idx="35">
                  <c:v>72170.403207928612</c:v>
                </c:pt>
                <c:pt idx="36">
                  <c:v>62125.917787596336</c:v>
                </c:pt>
                <c:pt idx="37">
                  <c:v>60880.913436456154</c:v>
                </c:pt>
                <c:pt idx="38">
                  <c:v>69254.675890161801</c:v>
                </c:pt>
                <c:pt idx="39">
                  <c:v>78890.641156023165</c:v>
                </c:pt>
                <c:pt idx="40">
                  <c:v>65432.133844581243</c:v>
                </c:pt>
                <c:pt idx="41">
                  <c:v>82490.721701199102</c:v>
                </c:pt>
                <c:pt idx="42">
                  <c:v>84354.137045770796</c:v>
                </c:pt>
                <c:pt idx="43">
                  <c:v>86261.154983487388</c:v>
                </c:pt>
                <c:pt idx="44">
                  <c:v>72040.023476679053</c:v>
                </c:pt>
                <c:pt idx="45">
                  <c:v>90210.205392188102</c:v>
                </c:pt>
                <c:pt idx="46">
                  <c:v>92254.40552143642</c:v>
                </c:pt>
                <c:pt idx="47">
                  <c:v>77435.000365552827</c:v>
                </c:pt>
                <c:pt idx="48">
                  <c:v>79322.556676225126</c:v>
                </c:pt>
                <c:pt idx="49">
                  <c:v>98679.273008869655</c:v>
                </c:pt>
                <c:pt idx="50">
                  <c:v>97463.607814726012</c:v>
                </c:pt>
                <c:pt idx="51">
                  <c:v>85268.641903092532</c:v>
                </c:pt>
                <c:pt idx="52">
                  <c:v>103309.69793831217</c:v>
                </c:pt>
                <c:pt idx="53">
                  <c:v>96343.391584275989</c:v>
                </c:pt>
                <c:pt idx="54">
                  <c:v>110434.12468052481</c:v>
                </c:pt>
                <c:pt idx="55">
                  <c:v>93902.930154166417</c:v>
                </c:pt>
                <c:pt idx="56">
                  <c:v>99072.902387172508</c:v>
                </c:pt>
                <c:pt idx="57">
                  <c:v>117796.3081444963</c:v>
                </c:pt>
                <c:pt idx="58">
                  <c:v>100953.29481997513</c:v>
                </c:pt>
                <c:pt idx="59">
                  <c:v>123639.96009873631</c:v>
                </c:pt>
                <c:pt idx="60">
                  <c:v>126470.99088861898</c:v>
                </c:pt>
                <c:pt idx="61">
                  <c:v>127156.9877853787</c:v>
                </c:pt>
                <c:pt idx="62">
                  <c:v>132335.29462137536</c:v>
                </c:pt>
                <c:pt idx="63">
                  <c:v>134773.05711701122</c:v>
                </c:pt>
                <c:pt idx="64">
                  <c:v>116697.79581478302</c:v>
                </c:pt>
                <c:pt idx="65">
                  <c:v>133688.93652926525</c:v>
                </c:pt>
                <c:pt idx="66">
                  <c:v>122478.66137729496</c:v>
                </c:pt>
                <c:pt idx="67">
                  <c:v>137490.42870647163</c:v>
                </c:pt>
                <c:pt idx="68">
                  <c:v>128548.34588231184</c:v>
                </c:pt>
                <c:pt idx="69">
                  <c:v>136512.26320209919</c:v>
                </c:pt>
                <c:pt idx="70">
                  <c:v>134921.35480409028</c:v>
                </c:pt>
                <c:pt idx="71">
                  <c:v>138226.33772313184</c:v>
                </c:pt>
                <c:pt idx="72">
                  <c:v>141612.9244508835</c:v>
                </c:pt>
                <c:pt idx="73">
                  <c:v>145083.13977109903</c:v>
                </c:pt>
                <c:pt idx="74">
                  <c:v>148639.05885745413</c:v>
                </c:pt>
                <c:pt idx="75">
                  <c:v>152282.80852984925</c:v>
                </c:pt>
                <c:pt idx="76">
                  <c:v>156016.56854206862</c:v>
                </c:pt>
                <c:pt idx="77">
                  <c:v>159842.57290157813</c:v>
                </c:pt>
                <c:pt idx="78">
                  <c:v>163763.11122226468</c:v>
                </c:pt>
                <c:pt idx="79">
                  <c:v>167780.53011094069</c:v>
                </c:pt>
                <c:pt idx="80">
                  <c:v>171897.23458845529</c:v>
                </c:pt>
                <c:pt idx="81">
                  <c:v>176115.68954627888</c:v>
                </c:pt>
                <c:pt idx="82">
                  <c:v>180438.42123944481</c:v>
                </c:pt>
                <c:pt idx="83">
                  <c:v>184868.01881675748</c:v>
                </c:pt>
                <c:pt idx="84">
                  <c:v>189407.13588919785</c:v>
                </c:pt>
                <c:pt idx="85">
                  <c:v>194058.49213747957</c:v>
                </c:pt>
                <c:pt idx="86">
                  <c:v>198824.87495973409</c:v>
                </c:pt>
                <c:pt idx="87">
                  <c:v>203709.14116032727</c:v>
                </c:pt>
                <c:pt idx="88">
                  <c:v>208714.21868083425</c:v>
                </c:pt>
                <c:pt idx="89">
                  <c:v>213843.10837422637</c:v>
                </c:pt>
                <c:pt idx="90">
                  <c:v>219098.88582334892</c:v>
                </c:pt>
                <c:pt idx="91">
                  <c:v>224484.70320479601</c:v>
                </c:pt>
                <c:pt idx="92">
                  <c:v>230003.7911993172</c:v>
                </c:pt>
                <c:pt idx="93">
                  <c:v>235659.4609499175</c:v>
                </c:pt>
                <c:pt idx="94">
                  <c:v>241455.106068842</c:v>
                </c:pt>
                <c:pt idx="95">
                  <c:v>247394.20469466737</c:v>
                </c:pt>
                <c:pt idx="96">
                  <c:v>253480.3216007498</c:v>
                </c:pt>
                <c:pt idx="97">
                  <c:v>259717.1103563151</c:v>
                </c:pt>
                <c:pt idx="98">
                  <c:v>266108.31554150273</c:v>
                </c:pt>
                <c:pt idx="99">
                  <c:v>272657.77501771419</c:v>
                </c:pt>
                <c:pt idx="100">
                  <c:v>279369.42225464614</c:v>
                </c:pt>
                <c:pt idx="101">
                  <c:v>286247.28871542367</c:v>
                </c:pt>
                <c:pt idx="102">
                  <c:v>293295.50630128675</c:v>
                </c:pt>
                <c:pt idx="103">
                  <c:v>300518.3098573162</c:v>
                </c:pt>
                <c:pt idx="104">
                  <c:v>307920.03974072373</c:v>
                </c:pt>
                <c:pt idx="105">
                  <c:v>315505.14445327112</c:v>
                </c:pt>
                <c:pt idx="106">
                  <c:v>323278.18333941768</c:v>
                </c:pt>
                <c:pt idx="107">
                  <c:v>331243.82935184008</c:v>
                </c:pt>
                <c:pt idx="108">
                  <c:v>339406.87188600702</c:v>
                </c:pt>
                <c:pt idx="109">
                  <c:v>347772.21968553378</c:v>
                </c:pt>
                <c:pt idx="110">
                  <c:v>356344.90382008429</c:v>
                </c:pt>
                <c:pt idx="111">
                  <c:v>365130.08073763491</c:v>
                </c:pt>
                <c:pt idx="112">
                  <c:v>374133.03539295489</c:v>
                </c:pt>
                <c:pt idx="113">
                  <c:v>383359.18445421103</c:v>
                </c:pt>
                <c:pt idx="114">
                  <c:v>392814.07958964515</c:v>
                </c:pt>
                <c:pt idx="115">
                  <c:v>402503.41083632637</c:v>
                </c:pt>
                <c:pt idx="116">
                  <c:v>412433.01005302847</c:v>
                </c:pt>
                <c:pt idx="117">
                  <c:v>422608.85445933521</c:v>
                </c:pt>
                <c:pt idx="118">
                  <c:v>433037.07026312425</c:v>
                </c:pt>
                <c:pt idx="119">
                  <c:v>443723.93637864268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87195200"/>
        <c:axId val="-987194656"/>
      </c:lineChart>
      <c:dateAx>
        <c:axId val="-987195200"/>
        <c:scaling>
          <c:orientation val="minMax"/>
          <c:max val="11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ALTER</a:t>
                </a:r>
              </a:p>
            </c:rich>
          </c:tx>
          <c:layout>
            <c:manualLayout>
              <c:xMode val="edge"/>
              <c:yMode val="edge"/>
              <c:x val="0.94807642652288349"/>
              <c:y val="0.75521314540429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987194656"/>
        <c:crosses val="autoZero"/>
        <c:auto val="0"/>
        <c:lblOffset val="100"/>
        <c:baseTimeUnit val="days"/>
        <c:majorUnit val="5"/>
        <c:majorTimeUnit val="days"/>
      </c:dateAx>
      <c:valAx>
        <c:axId val="-987194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€-407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9871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63810</xdr:colOff>
      <xdr:row>6</xdr:row>
      <xdr:rowOff>3801</xdr:rowOff>
    </xdr:from>
    <xdr:to>
      <xdr:col>12</xdr:col>
      <xdr:colOff>762000</xdr:colOff>
      <xdr:row>57</xdr:row>
      <xdr:rowOff>5603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60233</xdr:colOff>
      <xdr:row>0</xdr:row>
      <xdr:rowOff>113178</xdr:rowOff>
    </xdr:from>
    <xdr:to>
      <xdr:col>1</xdr:col>
      <xdr:colOff>3134087</xdr:colOff>
      <xdr:row>2</xdr:row>
      <xdr:rowOff>380277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37" y="113178"/>
          <a:ext cx="3073854" cy="720237"/>
        </a:xfrm>
        <a:prstGeom prst="rect">
          <a:avLst/>
        </a:prstGeom>
      </xdr:spPr>
    </xdr:pic>
    <xdr:clientData/>
  </xdr:twoCellAnchor>
  <xdr:twoCellAnchor editAs="oneCell">
    <xdr:from>
      <xdr:col>105</xdr:col>
      <xdr:colOff>416718</xdr:colOff>
      <xdr:row>66</xdr:row>
      <xdr:rowOff>54085</xdr:rowOff>
    </xdr:from>
    <xdr:to>
      <xdr:col>109</xdr:col>
      <xdr:colOff>164304</xdr:colOff>
      <xdr:row>74</xdr:row>
      <xdr:rowOff>118580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14626" y="8721835"/>
          <a:ext cx="4738686" cy="1337761"/>
        </a:xfrm>
        <a:prstGeom prst="rect">
          <a:avLst/>
        </a:prstGeom>
      </xdr:spPr>
    </xdr:pic>
    <xdr:clientData/>
  </xdr:twoCellAnchor>
  <xdr:twoCellAnchor>
    <xdr:from>
      <xdr:col>104</xdr:col>
      <xdr:colOff>875106</xdr:colOff>
      <xdr:row>72</xdr:row>
      <xdr:rowOff>1193</xdr:rowOff>
    </xdr:from>
    <xdr:to>
      <xdr:col>109</xdr:col>
      <xdr:colOff>785810</xdr:colOff>
      <xdr:row>78</xdr:row>
      <xdr:rowOff>238127</xdr:rowOff>
    </xdr:to>
    <xdr:sp macro="" textlink="">
      <xdr:nvSpPr>
        <xdr:cNvPr id="11" name="Rechteckiger Pfeil 10"/>
        <xdr:cNvSpPr/>
      </xdr:nvSpPr>
      <xdr:spPr>
        <a:xfrm rot="5400000">
          <a:off x="102415178" y="12261059"/>
          <a:ext cx="2546747" cy="6221016"/>
        </a:xfrm>
        <a:prstGeom prst="bentArrow">
          <a:avLst>
            <a:gd name="adj1" fmla="val 25000"/>
            <a:gd name="adj2" fmla="val 2407"/>
            <a:gd name="adj3" fmla="val 25000"/>
            <a:gd name="adj4" fmla="val 43750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96</xdr:col>
      <xdr:colOff>416719</xdr:colOff>
      <xdr:row>71</xdr:row>
      <xdr:rowOff>113109</xdr:rowOff>
    </xdr:from>
    <xdr:to>
      <xdr:col>98</xdr:col>
      <xdr:colOff>875107</xdr:colOff>
      <xdr:row>78</xdr:row>
      <xdr:rowOff>154781</xdr:rowOff>
    </xdr:to>
    <xdr:sp macro="" textlink="">
      <xdr:nvSpPr>
        <xdr:cNvPr id="12" name="Rechteckiger Pfeil 11"/>
        <xdr:cNvSpPr/>
      </xdr:nvSpPr>
      <xdr:spPr>
        <a:xfrm rot="5400000" flipV="1">
          <a:off x="91297125" y="14162486"/>
          <a:ext cx="2482452" cy="2315763"/>
        </a:xfrm>
        <a:prstGeom prst="bentArrow">
          <a:avLst>
            <a:gd name="adj1" fmla="val 25000"/>
            <a:gd name="adj2" fmla="val 2407"/>
            <a:gd name="adj3" fmla="val 25000"/>
            <a:gd name="adj4" fmla="val 43750"/>
          </a:avLst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840581</xdr:colOff>
      <xdr:row>54</xdr:row>
      <xdr:rowOff>40485</xdr:rowOff>
    </xdr:from>
    <xdr:to>
      <xdr:col>2</xdr:col>
      <xdr:colOff>752474</xdr:colOff>
      <xdr:row>55</xdr:row>
      <xdr:rowOff>119068</xdr:rowOff>
    </xdr:to>
    <xdr:sp macro="" textlink="">
      <xdr:nvSpPr>
        <xdr:cNvPr id="2" name="Pfeil nach unten 1"/>
        <xdr:cNvSpPr/>
      </xdr:nvSpPr>
      <xdr:spPr>
        <a:xfrm rot="5400000">
          <a:off x="2055018" y="9489286"/>
          <a:ext cx="259558" cy="90725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752476</xdr:colOff>
      <xdr:row>53</xdr:row>
      <xdr:rowOff>147638</xdr:rowOff>
    </xdr:from>
    <xdr:to>
      <xdr:col>3</xdr:col>
      <xdr:colOff>847726</xdr:colOff>
      <xdr:row>56</xdr:row>
      <xdr:rowOff>42863</xdr:rowOff>
    </xdr:to>
    <xdr:sp macro="" textlink="">
      <xdr:nvSpPr>
        <xdr:cNvPr id="3" name="Textfeld 2"/>
        <xdr:cNvSpPr txBox="1"/>
      </xdr:nvSpPr>
      <xdr:spPr>
        <a:xfrm>
          <a:off x="2638426" y="9739313"/>
          <a:ext cx="18478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AB HIER WIEDERHOLUNG DER RENDITEN AB 1970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747712</xdr:colOff>
      <xdr:row>3</xdr:row>
      <xdr:rowOff>88012</xdr:rowOff>
    </xdr:from>
    <xdr:to>
      <xdr:col>7</xdr:col>
      <xdr:colOff>676275</xdr:colOff>
      <xdr:row>17</xdr:row>
      <xdr:rowOff>38100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" y="630937"/>
          <a:ext cx="5262563" cy="2483738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18</xdr:row>
      <xdr:rowOff>52146</xdr:rowOff>
    </xdr:from>
    <xdr:to>
      <xdr:col>10</xdr:col>
      <xdr:colOff>546676</xdr:colOff>
      <xdr:row>31</xdr:row>
      <xdr:rowOff>157163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49" y="3309696"/>
          <a:ext cx="4299527" cy="25719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W/OneDrive/Clemens/3.%20Dokumente/11.%20Finanzen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Tabelle1"/>
      <sheetName val="Dropdowns"/>
    </sheetNames>
    <sheetDataSet>
      <sheetData sheetId="0" refreshError="1"/>
      <sheetData sheetId="1">
        <row r="1">
          <cell r="C1" t="str">
            <v>Kontostand in Euro</v>
          </cell>
        </row>
      </sheetData>
      <sheetData sheetId="2">
        <row r="1">
          <cell r="A1" t="str">
            <v>Kategorie</v>
          </cell>
          <cell r="B1" t="str">
            <v>Unterkategorie</v>
          </cell>
          <cell r="C1" t="str">
            <v>Konten</v>
          </cell>
        </row>
        <row r="2">
          <cell r="A2" t="str">
            <v>Freunde, Feiern, Essen, Urlaub</v>
          </cell>
          <cell r="B2" t="str">
            <v>Handy und Kommunikation</v>
          </cell>
          <cell r="C2" t="str">
            <v>DKB Tagesgeld</v>
          </cell>
        </row>
        <row r="3">
          <cell r="A3" t="str">
            <v>Bausparvertrag</v>
          </cell>
          <cell r="C3" t="str">
            <v>SH Bausparvertrag</v>
          </cell>
        </row>
        <row r="4">
          <cell r="A4" t="str">
            <v>Versicherungen</v>
          </cell>
          <cell r="C4" t="str">
            <v>Riester</v>
          </cell>
        </row>
        <row r="5">
          <cell r="A5" t="str">
            <v>Freunde, Feiern, Essen, Urlaub</v>
          </cell>
          <cell r="B5" t="str">
            <v>Mitgliedschaft</v>
          </cell>
          <cell r="C5" t="str">
            <v>DKB Giro / Bares</v>
          </cell>
        </row>
        <row r="6">
          <cell r="A6" t="str">
            <v>Verkehrsmittel</v>
          </cell>
          <cell r="B6" t="str">
            <v>Sprit</v>
          </cell>
          <cell r="C6" t="str">
            <v>EK Metallrente</v>
          </cell>
        </row>
        <row r="7">
          <cell r="A7" t="str">
            <v>Haushalt</v>
          </cell>
          <cell r="B7" t="str">
            <v>Miete</v>
          </cell>
          <cell r="C7" t="str">
            <v>Kaution - Illiquide</v>
          </cell>
        </row>
        <row r="8">
          <cell r="A8" t="str">
            <v>Verkehrsmittel</v>
          </cell>
          <cell r="B8" t="str">
            <v>Sprit</v>
          </cell>
          <cell r="C8" t="str">
            <v>VOBA Anteile Messkirch</v>
          </cell>
        </row>
        <row r="9">
          <cell r="A9" t="str">
            <v>Gehalt</v>
          </cell>
          <cell r="C9" t="str">
            <v>VOBA Sparbuch Messkirch</v>
          </cell>
        </row>
        <row r="10">
          <cell r="A10" t="str">
            <v>Verkehrsmittel</v>
          </cell>
          <cell r="B10" t="str">
            <v>Sprit</v>
          </cell>
          <cell r="C10" t="str">
            <v>Wertpapier - MSCI World</v>
          </cell>
        </row>
        <row r="11">
          <cell r="A11" t="str">
            <v>Freunde, Feiern, Essen, Urlaub</v>
          </cell>
          <cell r="B11" t="str">
            <v xml:space="preserve"> Feiern und Essen</v>
          </cell>
          <cell r="C11" t="str">
            <v>Wertpapier - MSCI EM</v>
          </cell>
        </row>
        <row r="12">
          <cell r="A12" t="str">
            <v>Verkehrsmittel</v>
          </cell>
          <cell r="B12" t="str">
            <v>Sprit</v>
          </cell>
          <cell r="C12" t="str">
            <v>Wertpapier - MSCI Euro</v>
          </cell>
        </row>
        <row r="13">
          <cell r="A13" t="str">
            <v>Haushalt</v>
          </cell>
          <cell r="B13" t="str">
            <v>Küche Toilette Hygiene</v>
          </cell>
        </row>
        <row r="14">
          <cell r="A14" t="str">
            <v>Freunde, Feiern, Essen, Urlaub</v>
          </cell>
          <cell r="B14" t="str">
            <v>Geschenke</v>
          </cell>
        </row>
        <row r="15">
          <cell r="A15" t="str">
            <v>Freunde, Feiern, Essen, Urlaub</v>
          </cell>
          <cell r="B15" t="str">
            <v xml:space="preserve"> Feiern und Essen</v>
          </cell>
        </row>
        <row r="16">
          <cell r="A16" t="str">
            <v>Metallrente</v>
          </cell>
        </row>
        <row r="17">
          <cell r="A17" t="str">
            <v>Verkehrsmittel</v>
          </cell>
          <cell r="B17" t="str">
            <v>Sprit</v>
          </cell>
        </row>
        <row r="18">
          <cell r="A18" t="str">
            <v>Freunde, Feiern, Essen, Urlaub</v>
          </cell>
          <cell r="B18" t="str">
            <v xml:space="preserve"> Feiern und Essen</v>
          </cell>
        </row>
        <row r="19">
          <cell r="A19" t="str">
            <v>Freunde, Feiern, Essen, Urlaub</v>
          </cell>
          <cell r="B19" t="str">
            <v>Geschenke</v>
          </cell>
        </row>
        <row r="20">
          <cell r="A20" t="str">
            <v>Lebensmittel</v>
          </cell>
          <cell r="B20" t="str">
            <v>Wochenenkauf</v>
          </cell>
        </row>
        <row r="21">
          <cell r="A21" t="str">
            <v>Freunde, Feiern, Essen, Urlaub</v>
          </cell>
          <cell r="B21" t="str">
            <v xml:space="preserve"> Feiern und Essen</v>
          </cell>
        </row>
        <row r="22">
          <cell r="A22" t="str">
            <v>Freunde, Feiern, Essen, Urlaub</v>
          </cell>
          <cell r="B22" t="str">
            <v xml:space="preserve"> Feiern und Essen</v>
          </cell>
        </row>
        <row r="23">
          <cell r="A23" t="str">
            <v>Freunde, Feiern, Essen, Urlaub</v>
          </cell>
          <cell r="B23" t="str">
            <v xml:space="preserve"> Feiern und Essen</v>
          </cell>
        </row>
        <row r="24">
          <cell r="A24" t="str">
            <v>Freunde, Feiern, Essen, Urlaub</v>
          </cell>
          <cell r="B24" t="str">
            <v>Handy und Kommunikation</v>
          </cell>
        </row>
        <row r="25">
          <cell r="A25" t="str">
            <v>Verkehrsmittel</v>
          </cell>
          <cell r="B25" t="str">
            <v>Sprit</v>
          </cell>
        </row>
        <row r="26">
          <cell r="A26" t="str">
            <v>Freunde, Feiern, Essen, Urlaub</v>
          </cell>
          <cell r="B26" t="str">
            <v xml:space="preserve"> Feiern und Essen</v>
          </cell>
        </row>
        <row r="27">
          <cell r="A27" t="str">
            <v>Verkehrsmittel</v>
          </cell>
          <cell r="B27" t="str">
            <v>Sprit</v>
          </cell>
        </row>
        <row r="28">
          <cell r="A28" t="str">
            <v>Bausparvertrag</v>
          </cell>
        </row>
        <row r="29">
          <cell r="A29" t="str">
            <v>Versicherungen</v>
          </cell>
        </row>
        <row r="30">
          <cell r="A30" t="str">
            <v>Freunde, Feiern, Essen, Urlaub</v>
          </cell>
          <cell r="B30" t="str">
            <v>Mitgliedschaft</v>
          </cell>
        </row>
        <row r="31">
          <cell r="A31" t="str">
            <v>Freunde, Feiern, Essen, Urlaub</v>
          </cell>
          <cell r="B31" t="str">
            <v>Handy und Kommunikation</v>
          </cell>
        </row>
        <row r="32">
          <cell r="A32" t="str">
            <v>Verkehrsmittel</v>
          </cell>
          <cell r="B32" t="str">
            <v>Sprit</v>
          </cell>
        </row>
        <row r="33">
          <cell r="A33" t="str">
            <v>Haushalt</v>
          </cell>
          <cell r="B33" t="str">
            <v>Miete</v>
          </cell>
        </row>
        <row r="34">
          <cell r="A34" t="str">
            <v>Freunde, Feiern, Essen, Urlaub</v>
          </cell>
          <cell r="B34" t="str">
            <v xml:space="preserve"> Feiern und Essen</v>
          </cell>
        </row>
        <row r="35">
          <cell r="A35" t="str">
            <v>Bekleidung und Beauty</v>
          </cell>
          <cell r="B35" t="str">
            <v>Schönheit</v>
          </cell>
        </row>
        <row r="36">
          <cell r="A36" t="str">
            <v>Freunde, Feiern, Essen, Urlaub</v>
          </cell>
          <cell r="B36" t="str">
            <v>Geschenke</v>
          </cell>
        </row>
        <row r="37">
          <cell r="A37" t="str">
            <v>Freunde, Feiern, Essen, Urlaub</v>
          </cell>
          <cell r="B37" t="str">
            <v xml:space="preserve"> Feiern und Essen</v>
          </cell>
        </row>
        <row r="38">
          <cell r="A38" t="str">
            <v>Gehalt</v>
          </cell>
        </row>
        <row r="39">
          <cell r="A39" t="str">
            <v>Freunde, Feiern, Essen, Urlaub</v>
          </cell>
          <cell r="B39" t="str">
            <v xml:space="preserve"> Feiern und Essen</v>
          </cell>
        </row>
        <row r="40">
          <cell r="A40" t="str">
            <v>Verkehrsmittel</v>
          </cell>
          <cell r="B40" t="str">
            <v>Sprit</v>
          </cell>
        </row>
        <row r="41">
          <cell r="A41" t="str">
            <v>Lebensmittel</v>
          </cell>
          <cell r="B41" t="str">
            <v>Outside Restaurants, Fast food</v>
          </cell>
        </row>
        <row r="42">
          <cell r="A42" t="str">
            <v>Lebensmittel</v>
          </cell>
          <cell r="B42" t="str">
            <v>Wochenenkauf</v>
          </cell>
        </row>
        <row r="43">
          <cell r="A43" t="str">
            <v>Bekleidung und Beauty</v>
          </cell>
          <cell r="B43" t="str">
            <v>Schönheit</v>
          </cell>
        </row>
        <row r="44">
          <cell r="A44" t="str">
            <v>Metallrente</v>
          </cell>
        </row>
        <row r="45">
          <cell r="A45" t="str">
            <v>Gesundheit</v>
          </cell>
          <cell r="B45" t="str">
            <v>Gesundheit</v>
          </cell>
        </row>
        <row r="46">
          <cell r="A46" t="str">
            <v>Freunde, Feiern, Essen, Urlaub</v>
          </cell>
          <cell r="B46" t="str">
            <v>Geschenke</v>
          </cell>
        </row>
        <row r="47">
          <cell r="A47" t="str">
            <v>Freunde, Feiern, Essen, Urlaub</v>
          </cell>
          <cell r="B47" t="str">
            <v xml:space="preserve"> Feiern und Essen</v>
          </cell>
        </row>
        <row r="48">
          <cell r="A48" t="str">
            <v>Freunde, Feiern, Essen, Urlaub</v>
          </cell>
          <cell r="B48" t="str">
            <v xml:space="preserve"> Feiern und Essen</v>
          </cell>
        </row>
        <row r="49">
          <cell r="A49" t="str">
            <v>Haushalt</v>
          </cell>
          <cell r="B49" t="str">
            <v>Haushaltsgeräte Möbel</v>
          </cell>
        </row>
        <row r="50">
          <cell r="A50" t="str">
            <v>Lebensmittel</v>
          </cell>
          <cell r="B50" t="str">
            <v>Wochenenkauf</v>
          </cell>
        </row>
        <row r="51">
          <cell r="A51" t="str">
            <v>Lebensmittel</v>
          </cell>
          <cell r="B51" t="str">
            <v>Wochenenkauf</v>
          </cell>
        </row>
        <row r="52">
          <cell r="A52" t="str">
            <v>Verkehrsmittel</v>
          </cell>
          <cell r="B52" t="str">
            <v>Sprit</v>
          </cell>
        </row>
        <row r="53">
          <cell r="A53" t="str">
            <v>Freunde, Feiern, Essen, Urlaub</v>
          </cell>
          <cell r="B53" t="str">
            <v xml:space="preserve"> Feiern und Essen</v>
          </cell>
        </row>
        <row r="54">
          <cell r="A54" t="str">
            <v>Bekleidung und Beauty</v>
          </cell>
          <cell r="B54" t="str">
            <v>Schuhe</v>
          </cell>
        </row>
        <row r="55">
          <cell r="A55" t="str">
            <v>Freunde, Feiern, Essen, Urlaub</v>
          </cell>
          <cell r="B55" t="str">
            <v xml:space="preserve"> Feiern und Essen</v>
          </cell>
        </row>
        <row r="56">
          <cell r="A56" t="str">
            <v>Freunde, Feiern, Essen, Urlaub</v>
          </cell>
          <cell r="B56" t="str">
            <v xml:space="preserve"> Feiern und Essen</v>
          </cell>
        </row>
        <row r="57">
          <cell r="A57" t="str">
            <v>Verkehrsmittel</v>
          </cell>
          <cell r="B57" t="str">
            <v>Sprit</v>
          </cell>
        </row>
        <row r="58">
          <cell r="A58" t="str">
            <v>Bausparvertrag</v>
          </cell>
        </row>
        <row r="59">
          <cell r="A59" t="str">
            <v>Versicherungen</v>
          </cell>
        </row>
        <row r="60">
          <cell r="A60" t="str">
            <v>Freunde, Feiern, Essen, Urlaub</v>
          </cell>
          <cell r="B60" t="str">
            <v>Mitgliedschaft</v>
          </cell>
        </row>
        <row r="61">
          <cell r="A61" t="str">
            <v>Freunde, Feiern, Essen, Urlaub</v>
          </cell>
          <cell r="B61" t="str">
            <v>Handy und Kommunikation</v>
          </cell>
        </row>
        <row r="62">
          <cell r="A62" t="str">
            <v>Verkehrsmittel</v>
          </cell>
          <cell r="B62" t="str">
            <v>Sprit</v>
          </cell>
        </row>
        <row r="63">
          <cell r="A63" t="str">
            <v>Haushalt</v>
          </cell>
          <cell r="B63" t="str">
            <v>Miete</v>
          </cell>
        </row>
        <row r="64">
          <cell r="A64" t="str">
            <v>Freunde, Feiern, Essen, Urlaub</v>
          </cell>
          <cell r="B64" t="str">
            <v>Geschenke</v>
          </cell>
        </row>
        <row r="65">
          <cell r="A65" t="str">
            <v>Gehalt</v>
          </cell>
        </row>
        <row r="66">
          <cell r="A66" t="str">
            <v>Freunde, Feiern, Essen, Urlaub</v>
          </cell>
          <cell r="B66" t="str">
            <v xml:space="preserve"> Feiern und Essen</v>
          </cell>
        </row>
        <row r="67">
          <cell r="A67" t="str">
            <v>Freunde, Feiern, Essen, Urlaub</v>
          </cell>
          <cell r="B67" t="str">
            <v>Geschenke</v>
          </cell>
        </row>
        <row r="68">
          <cell r="A68" t="str">
            <v>Freunde, Feiern, Essen, Urlaub</v>
          </cell>
          <cell r="B68" t="str">
            <v xml:space="preserve"> Feiern und Essen</v>
          </cell>
        </row>
        <row r="69">
          <cell r="A69" t="str">
            <v>Lebensmittel</v>
          </cell>
          <cell r="B69" t="str">
            <v>Wochenenkauf</v>
          </cell>
        </row>
        <row r="70">
          <cell r="A70" t="str">
            <v>Lebensmittel</v>
          </cell>
          <cell r="B70" t="str">
            <v>Wochenenkauf</v>
          </cell>
        </row>
        <row r="71">
          <cell r="A71" t="str">
            <v>Verkehrsmittel</v>
          </cell>
          <cell r="B71" t="str">
            <v>Sprit</v>
          </cell>
        </row>
        <row r="72">
          <cell r="A72" t="str">
            <v>Freunde, Feiern, Essen, Urlaub</v>
          </cell>
          <cell r="B72" t="str">
            <v xml:space="preserve"> Feiern und Essen</v>
          </cell>
        </row>
        <row r="73">
          <cell r="A73" t="str">
            <v>Freunde, Feiern, Essen, Urlaub</v>
          </cell>
          <cell r="B73" t="str">
            <v xml:space="preserve"> Feiern und Essen</v>
          </cell>
        </row>
        <row r="74">
          <cell r="A74" t="str">
            <v>Metallrente</v>
          </cell>
        </row>
        <row r="75">
          <cell r="A75" t="str">
            <v>Lebensmittel</v>
          </cell>
          <cell r="B75" t="str">
            <v>Wochenenkauf</v>
          </cell>
        </row>
        <row r="76">
          <cell r="A76" t="str">
            <v>Freunde, Feiern, Essen, Urlaub</v>
          </cell>
          <cell r="B76" t="str">
            <v xml:space="preserve"> Feiern und Essen</v>
          </cell>
        </row>
        <row r="77">
          <cell r="A77" t="str">
            <v>Versicherungen</v>
          </cell>
        </row>
        <row r="78">
          <cell r="A78" t="str">
            <v>Sonstige</v>
          </cell>
        </row>
        <row r="79">
          <cell r="A79" t="str">
            <v>Sonstige</v>
          </cell>
        </row>
        <row r="80">
          <cell r="A80" t="str">
            <v>Verkehrsmittel</v>
          </cell>
          <cell r="B80" t="str">
            <v>Sprit</v>
          </cell>
        </row>
        <row r="81">
          <cell r="A81" t="str">
            <v>Sonstige</v>
          </cell>
        </row>
        <row r="82">
          <cell r="A82" t="str">
            <v>Lebensmittel</v>
          </cell>
          <cell r="B82" t="str">
            <v>At home, entertaining friends</v>
          </cell>
        </row>
        <row r="83">
          <cell r="A83" t="str">
            <v>Sonstige</v>
          </cell>
        </row>
        <row r="84">
          <cell r="A84" t="str">
            <v>Sonstige</v>
          </cell>
        </row>
        <row r="85">
          <cell r="A85" t="str">
            <v>Sonstige</v>
          </cell>
        </row>
        <row r="86">
          <cell r="A86" t="str">
            <v>Sonstige</v>
          </cell>
        </row>
        <row r="87">
          <cell r="A87" t="str">
            <v>Sonstige</v>
          </cell>
        </row>
        <row r="88">
          <cell r="A88" t="str">
            <v>Lebensmittel</v>
          </cell>
          <cell r="B88" t="str">
            <v>Wochenenkauf</v>
          </cell>
        </row>
        <row r="89">
          <cell r="A89" t="str">
            <v>Lebensmittel</v>
          </cell>
          <cell r="B89" t="str">
            <v>At work, basic meals</v>
          </cell>
        </row>
        <row r="90">
          <cell r="A90" t="str">
            <v>Verkehrsmittel</v>
          </cell>
          <cell r="B90" t="str">
            <v>Sprit</v>
          </cell>
        </row>
        <row r="91">
          <cell r="A91" t="str">
            <v>Riester UniProfi Select</v>
          </cell>
        </row>
        <row r="92">
          <cell r="A92" t="str">
            <v>Bausparvertrag</v>
          </cell>
        </row>
        <row r="93">
          <cell r="A93" t="str">
            <v>Freunde, Feiern, Essen, Urlaub</v>
          </cell>
          <cell r="B93" t="str">
            <v>Mitgliedschaft</v>
          </cell>
        </row>
        <row r="94">
          <cell r="A94" t="str">
            <v>Freunde, Feiern, Essen, Urlaub</v>
          </cell>
          <cell r="B94" t="str">
            <v>Handy und Kommunikation</v>
          </cell>
        </row>
        <row r="95">
          <cell r="A95" t="str">
            <v>Verkehrsmittel</v>
          </cell>
          <cell r="B95" t="str">
            <v>Sprit</v>
          </cell>
        </row>
        <row r="96">
          <cell r="A96" t="str">
            <v>Haushalt</v>
          </cell>
          <cell r="B96" t="str">
            <v>Miete</v>
          </cell>
        </row>
        <row r="97">
          <cell r="A97" t="str">
            <v>Gehalt</v>
          </cell>
        </row>
        <row r="98">
          <cell r="A98" t="str">
            <v>Lebensmittel</v>
          </cell>
          <cell r="B98" t="str">
            <v>Wochenenkauf</v>
          </cell>
        </row>
        <row r="99">
          <cell r="A99" t="str">
            <v>Verkehrsmittel</v>
          </cell>
          <cell r="B99" t="str">
            <v>Sprit</v>
          </cell>
        </row>
        <row r="100">
          <cell r="A100" t="str">
            <v>Gesundheit</v>
          </cell>
          <cell r="B100" t="str">
            <v>Medikamente</v>
          </cell>
        </row>
        <row r="101">
          <cell r="A101" t="str">
            <v>Freunde, Feiern, Essen, Urlaub</v>
          </cell>
          <cell r="B101" t="str">
            <v xml:space="preserve"> Feiern und Essen</v>
          </cell>
        </row>
        <row r="102">
          <cell r="A102" t="str">
            <v>Lebensmittel</v>
          </cell>
          <cell r="B102" t="str">
            <v>At home, entertaining friends</v>
          </cell>
        </row>
        <row r="103">
          <cell r="A103" t="str">
            <v>Gesundheit</v>
          </cell>
          <cell r="B103" t="str">
            <v>Medikamente</v>
          </cell>
        </row>
        <row r="104">
          <cell r="A104" t="str">
            <v>Lebensmittel</v>
          </cell>
          <cell r="B104" t="str">
            <v>Wochenenkauf</v>
          </cell>
        </row>
        <row r="105">
          <cell r="A105" t="str">
            <v>Metallrente</v>
          </cell>
        </row>
        <row r="106">
          <cell r="A106" t="str">
            <v>Verkehrsmittel</v>
          </cell>
          <cell r="B106" t="str">
            <v>Sprit</v>
          </cell>
        </row>
        <row r="107">
          <cell r="A107" t="str">
            <v>Verkehrsmittel</v>
          </cell>
          <cell r="B107" t="str">
            <v>Sprit</v>
          </cell>
        </row>
        <row r="108">
          <cell r="A108" t="str">
            <v>Verkehrsmittel</v>
          </cell>
          <cell r="B108" t="str">
            <v>Sprit</v>
          </cell>
        </row>
        <row r="109">
          <cell r="A109" t="str">
            <v>Lebensmittel</v>
          </cell>
          <cell r="B109" t="str">
            <v>Wochenenkauf</v>
          </cell>
        </row>
        <row r="110">
          <cell r="A110" t="str">
            <v>Freunde, Feiern, Essen, Urlaub</v>
          </cell>
          <cell r="B110" t="str">
            <v xml:space="preserve"> Feiern und Essen</v>
          </cell>
        </row>
        <row r="111">
          <cell r="A111" t="str">
            <v>Riester UniProfi Select</v>
          </cell>
        </row>
        <row r="112">
          <cell r="A112" t="str">
            <v>Freunde, Feiern, Essen, Urlaub</v>
          </cell>
          <cell r="B112" t="str">
            <v>Handy und Kommunikation</v>
          </cell>
        </row>
        <row r="113">
          <cell r="A113" t="str">
            <v>Lebensmittel</v>
          </cell>
          <cell r="B113" t="str">
            <v>Wochenenkauf</v>
          </cell>
        </row>
        <row r="114">
          <cell r="A114" t="str">
            <v>Bausparvertrag</v>
          </cell>
        </row>
        <row r="115">
          <cell r="A115" t="str">
            <v>Verkehrsmittel</v>
          </cell>
          <cell r="B115" t="str">
            <v>Sprit</v>
          </cell>
        </row>
        <row r="116">
          <cell r="A116" t="str">
            <v>Freunde, Feiern, Essen, Urlaub</v>
          </cell>
          <cell r="B116" t="str">
            <v>Mitgliedschaft</v>
          </cell>
        </row>
        <row r="117">
          <cell r="A117" t="str">
            <v>Lebensmittel</v>
          </cell>
          <cell r="B117" t="str">
            <v>Wochenenkauf</v>
          </cell>
        </row>
        <row r="118">
          <cell r="A118" t="str">
            <v>Gesundheit</v>
          </cell>
          <cell r="B118" t="str">
            <v>Medikamente</v>
          </cell>
        </row>
        <row r="119">
          <cell r="A119" t="str">
            <v>Verkehrsmittel</v>
          </cell>
          <cell r="B119" t="str">
            <v>Sprit</v>
          </cell>
        </row>
        <row r="120">
          <cell r="A120" t="str">
            <v>Verkehrsmittel</v>
          </cell>
          <cell r="B120" t="str">
            <v>Sprit</v>
          </cell>
        </row>
        <row r="121">
          <cell r="A121" t="str">
            <v>Bekleidung und Beauty</v>
          </cell>
          <cell r="B121" t="str">
            <v>Schuhe</v>
          </cell>
        </row>
        <row r="122">
          <cell r="A122" t="str">
            <v>Bekleidung und Beauty</v>
          </cell>
          <cell r="B122" t="str">
            <v>Accessoires</v>
          </cell>
        </row>
        <row r="123">
          <cell r="A123" t="str">
            <v>Freunde, Feiern, Essen, Urlaub</v>
          </cell>
          <cell r="B123" t="str">
            <v>Geschenke</v>
          </cell>
        </row>
        <row r="124">
          <cell r="A124" t="str">
            <v>Lebensmittel</v>
          </cell>
          <cell r="B124" t="str">
            <v>At work, basic meals</v>
          </cell>
        </row>
        <row r="125">
          <cell r="A125" t="str">
            <v>Verkehrsmittel</v>
          </cell>
          <cell r="B125" t="str">
            <v>Sprit</v>
          </cell>
        </row>
        <row r="126">
          <cell r="A126" t="str">
            <v>Mietkaution</v>
          </cell>
        </row>
        <row r="127">
          <cell r="A127" t="str">
            <v>Haushalt</v>
          </cell>
          <cell r="B127" t="str">
            <v>Miete</v>
          </cell>
        </row>
        <row r="128">
          <cell r="A128" t="str">
            <v>Gesundheit</v>
          </cell>
          <cell r="B128" t="str">
            <v>Medikamente</v>
          </cell>
        </row>
        <row r="129">
          <cell r="A129" t="str">
            <v>Metallrente</v>
          </cell>
        </row>
        <row r="130">
          <cell r="A130" t="str">
            <v>Versicherungen</v>
          </cell>
        </row>
        <row r="131">
          <cell r="A131" t="str">
            <v>Gehalt</v>
          </cell>
        </row>
        <row r="132">
          <cell r="A132" t="str">
            <v>Freunde, Feiern, Essen, Urlaub</v>
          </cell>
          <cell r="B132" t="str">
            <v xml:space="preserve"> Feiern und Essen</v>
          </cell>
        </row>
        <row r="133">
          <cell r="A133" t="str">
            <v>Lebensmittel</v>
          </cell>
          <cell r="B133" t="str">
            <v>Wochenenkauf</v>
          </cell>
        </row>
        <row r="134">
          <cell r="A134" t="str">
            <v>Freunde, Feiern, Essen, Urlaub</v>
          </cell>
          <cell r="B134" t="str">
            <v xml:space="preserve"> Feiern und Essen</v>
          </cell>
        </row>
        <row r="135">
          <cell r="A135" t="str">
            <v>Lebensmittel</v>
          </cell>
          <cell r="B135" t="str">
            <v>At work, basic meals</v>
          </cell>
        </row>
        <row r="136">
          <cell r="A136" t="str">
            <v>Verkehrsmittel</v>
          </cell>
          <cell r="B136" t="str">
            <v>Sprit</v>
          </cell>
        </row>
        <row r="137">
          <cell r="A137" t="str">
            <v>Verkehrsmittel</v>
          </cell>
          <cell r="B137" t="str">
            <v>Sprit</v>
          </cell>
        </row>
        <row r="138">
          <cell r="A138" t="str">
            <v>Lebensmittel</v>
          </cell>
          <cell r="B138" t="str">
            <v>Wochenenkauf</v>
          </cell>
        </row>
        <row r="139">
          <cell r="A139" t="str">
            <v>Verkehrsmittel</v>
          </cell>
          <cell r="B139" t="str">
            <v>Sprit</v>
          </cell>
        </row>
        <row r="140">
          <cell r="A140" t="str">
            <v>Versicherungen</v>
          </cell>
        </row>
        <row r="141">
          <cell r="A141" t="str">
            <v>Bekleidung und Beauty</v>
          </cell>
          <cell r="B141" t="str">
            <v>Schönheit</v>
          </cell>
        </row>
        <row r="142">
          <cell r="A142" t="str">
            <v>Lebensmittel</v>
          </cell>
          <cell r="B142" t="str">
            <v>At Home, Basic meals</v>
          </cell>
        </row>
        <row r="143">
          <cell r="A143" t="str">
            <v>Lebensmittel</v>
          </cell>
          <cell r="B143" t="str">
            <v>At work, basic meals</v>
          </cell>
        </row>
        <row r="144">
          <cell r="A144" t="str">
            <v>Lebensmittel</v>
          </cell>
          <cell r="B144" t="str">
            <v>At home, entertaining friends</v>
          </cell>
        </row>
        <row r="145">
          <cell r="A145" t="str">
            <v>Sonstige</v>
          </cell>
        </row>
        <row r="146">
          <cell r="A146" t="str">
            <v>Bausparvertrag</v>
          </cell>
        </row>
        <row r="147">
          <cell r="A147" t="str">
            <v>Freunde, Feiern, Essen, Urlaub</v>
          </cell>
          <cell r="B147" t="str">
            <v>Handy und Kommunikation</v>
          </cell>
        </row>
        <row r="148">
          <cell r="A148" t="str">
            <v>Verkehrsmittel</v>
          </cell>
          <cell r="B148" t="str">
            <v>Sprit</v>
          </cell>
        </row>
        <row r="149">
          <cell r="A149" t="str">
            <v>Verkehrsmittel</v>
          </cell>
          <cell r="B149" t="str">
            <v>Sprit</v>
          </cell>
        </row>
        <row r="150">
          <cell r="A150" t="str">
            <v>Lebensmittel</v>
          </cell>
          <cell r="B150" t="str">
            <v>Wochenenkauf</v>
          </cell>
        </row>
        <row r="151">
          <cell r="A151" t="str">
            <v>Lebensmittel</v>
          </cell>
          <cell r="B151" t="str">
            <v>At work, basic meals</v>
          </cell>
        </row>
        <row r="152">
          <cell r="A152" t="str">
            <v>Freunde, Feiern, Essen, Urlaub</v>
          </cell>
          <cell r="B152" t="str">
            <v>Geschenke</v>
          </cell>
        </row>
        <row r="153">
          <cell r="A153" t="str">
            <v>Haushalt</v>
          </cell>
          <cell r="B153" t="str">
            <v>Miete</v>
          </cell>
        </row>
        <row r="154">
          <cell r="A154" t="str">
            <v>Freunde, Feiern, Essen, Urlaub</v>
          </cell>
          <cell r="B154" t="str">
            <v xml:space="preserve"> Feiern und Essen</v>
          </cell>
        </row>
        <row r="155">
          <cell r="A155" t="str">
            <v>Bekleidung und Beauty</v>
          </cell>
          <cell r="B155" t="str">
            <v>Schönheit</v>
          </cell>
        </row>
        <row r="156">
          <cell r="A156" t="str">
            <v>Verkehrsmittel</v>
          </cell>
          <cell r="B156" t="str">
            <v>Sprit</v>
          </cell>
        </row>
        <row r="157">
          <cell r="A157" t="str">
            <v>Haushalt</v>
          </cell>
          <cell r="B157" t="str">
            <v>Kaution</v>
          </cell>
        </row>
        <row r="158">
          <cell r="A158" t="str">
            <v>Versicherungen</v>
          </cell>
        </row>
        <row r="159">
          <cell r="A159" t="str">
            <v>Haushalt</v>
          </cell>
          <cell r="B159" t="str">
            <v>Haushaltsgeräte Möbel</v>
          </cell>
        </row>
        <row r="160">
          <cell r="A160" t="str">
            <v>Lebensmittel</v>
          </cell>
          <cell r="B160" t="str">
            <v>At work, basic meals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rgb="FFFFC000"/>
  </sheetPr>
  <dimension ref="A1:HD199"/>
  <sheetViews>
    <sheetView showGridLines="0" tabSelected="1" zoomScale="85" zoomScaleNormal="85" workbookViewId="0">
      <selection activeCell="C8" sqref="C8"/>
    </sheetView>
  </sheetViews>
  <sheetFormatPr baseColWidth="10" defaultColWidth="10.73046875" defaultRowHeight="11.65" x14ac:dyDescent="0.3"/>
  <cols>
    <col min="1" max="1" width="2.73046875" style="75" customWidth="1"/>
    <col min="2" max="2" width="46.796875" style="332" customWidth="1"/>
    <col min="3" max="3" width="7.33203125" style="268" customWidth="1"/>
    <col min="4" max="4" width="1" style="76" customWidth="1"/>
    <col min="5" max="5" width="1" style="75" customWidth="1"/>
    <col min="6" max="7" width="9" style="79" customWidth="1"/>
    <col min="8" max="8" width="6.19921875" style="79" customWidth="1"/>
    <col min="9" max="10" width="9" style="79" customWidth="1"/>
    <col min="11" max="12" width="5.9296875" style="79" customWidth="1"/>
    <col min="13" max="13" width="9" style="79" customWidth="1"/>
    <col min="14" max="14" width="2.33203125" style="75" customWidth="1"/>
    <col min="15" max="15" width="7.86328125" style="80" customWidth="1"/>
    <col min="16" max="16" width="7.86328125" style="289" customWidth="1"/>
    <col min="17" max="23" width="7.86328125" style="95" customWidth="1"/>
    <col min="24" max="24" width="3.796875" style="95" customWidth="1"/>
    <col min="25" max="25" width="15" style="285" customWidth="1"/>
    <col min="26" max="27" width="14.1328125" style="75" customWidth="1"/>
    <col min="28" max="29" width="8.796875" style="75" customWidth="1"/>
    <col min="30" max="51" width="13.6640625" style="75" customWidth="1"/>
    <col min="52" max="62" width="13.6640625" style="125" customWidth="1"/>
    <col min="63" max="63" width="10.73046875" style="125"/>
    <col min="64" max="64" width="11.265625" style="127" customWidth="1"/>
    <col min="65" max="66" width="14.796875" style="127" customWidth="1"/>
    <col min="67" max="77" width="16.19921875" style="127" customWidth="1"/>
    <col min="78" max="84" width="22.19921875" style="125" customWidth="1"/>
    <col min="85" max="85" width="25.53125" style="125" customWidth="1"/>
    <col min="86" max="86" width="20" style="125" customWidth="1"/>
    <col min="87" max="87" width="25.86328125" style="125" customWidth="1"/>
    <col min="88" max="92" width="10.796875" style="125" bestFit="1" customWidth="1"/>
    <col min="93" max="93" width="26.9296875" style="125" customWidth="1"/>
    <col min="94" max="94" width="18.33203125" style="125" customWidth="1"/>
    <col min="95" max="99" width="13.06640625" style="125" customWidth="1"/>
    <col min="100" max="100" width="12.6640625" style="97" customWidth="1"/>
    <col min="101" max="112" width="17.73046875" style="125" customWidth="1"/>
    <col min="113" max="113" width="13.06640625" style="97" customWidth="1"/>
    <col min="114" max="114" width="13.06640625" style="125" customWidth="1"/>
    <col min="115" max="116" width="10.73046875" style="125"/>
    <col min="117" max="117" width="0" style="125" hidden="1" customWidth="1"/>
    <col min="118" max="118" width="10.73046875" style="125" hidden="1" customWidth="1"/>
    <col min="119" max="119" width="10.73046875" style="75" hidden="1" customWidth="1"/>
    <col min="120" max="120" width="17.06640625" style="75" hidden="1" customWidth="1"/>
    <col min="121" max="126" width="10.73046875" style="75" hidden="1" customWidth="1"/>
    <col min="127" max="127" width="12.59765625" style="75" hidden="1" customWidth="1"/>
    <col min="128" max="129" width="10.73046875" style="75" hidden="1" customWidth="1"/>
    <col min="130" max="130" width="11.33203125" style="75" hidden="1" customWidth="1"/>
    <col min="131" max="131" width="16.3984375" style="75" hidden="1" customWidth="1"/>
    <col min="132" max="135" width="10.73046875" style="75" hidden="1" customWidth="1"/>
    <col min="136" max="136" width="13.06640625" style="75" hidden="1" customWidth="1"/>
    <col min="137" max="141" width="10.73046875" style="75" hidden="1" customWidth="1"/>
    <col min="142" max="142" width="14.3984375" style="75" hidden="1" customWidth="1"/>
    <col min="143" max="148" width="10.73046875" style="75" hidden="1" customWidth="1"/>
    <col min="149" max="149" width="13.3984375" style="75" hidden="1" customWidth="1"/>
    <col min="150" max="158" width="10.73046875" style="75" hidden="1" customWidth="1"/>
    <col min="159" max="159" width="13.3984375" style="75" hidden="1" customWidth="1"/>
    <col min="160" max="207" width="10.73046875" style="75" hidden="1" customWidth="1"/>
    <col min="208" max="208" width="10.73046875" style="75" customWidth="1" collapsed="1"/>
    <col min="209" max="212" width="10.73046875" style="75" customWidth="1"/>
    <col min="213" max="16384" width="10.73046875" style="75"/>
  </cols>
  <sheetData>
    <row r="1" spans="1:118" ht="12" thickBot="1" x14ac:dyDescent="0.35">
      <c r="A1" s="71"/>
      <c r="B1" s="244" t="s">
        <v>56</v>
      </c>
      <c r="C1" s="257"/>
      <c r="D1" s="72"/>
      <c r="E1" s="71"/>
      <c r="F1" s="73"/>
      <c r="G1" s="73"/>
      <c r="H1" s="73"/>
      <c r="I1" s="73"/>
      <c r="J1" s="73"/>
      <c r="K1" s="73"/>
      <c r="L1" s="73"/>
      <c r="M1" s="73"/>
      <c r="N1" s="71"/>
      <c r="O1" s="190"/>
      <c r="P1" s="254"/>
      <c r="Q1" s="97"/>
      <c r="R1" s="97"/>
      <c r="S1" s="97"/>
      <c r="T1" s="97"/>
      <c r="U1" s="97"/>
      <c r="V1" s="97"/>
      <c r="W1" s="97"/>
      <c r="X1" s="97"/>
    </row>
    <row r="2" spans="1:118" ht="24.75" customHeight="1" x14ac:dyDescent="0.3">
      <c r="A2" s="71"/>
      <c r="B2" s="319"/>
      <c r="C2" s="258"/>
      <c r="E2" s="311" t="s">
        <v>203</v>
      </c>
      <c r="F2" s="311"/>
      <c r="G2" s="311"/>
      <c r="H2" s="311"/>
      <c r="I2" s="311"/>
      <c r="J2" s="311"/>
      <c r="K2" s="311"/>
      <c r="L2" s="311"/>
      <c r="M2" s="311"/>
      <c r="N2" s="71"/>
      <c r="O2" s="283"/>
      <c r="P2" s="286"/>
      <c r="Q2" s="286"/>
      <c r="R2" s="286"/>
      <c r="S2" s="286"/>
      <c r="T2" s="286"/>
      <c r="U2" s="286"/>
      <c r="V2" s="286"/>
      <c r="W2" s="286"/>
      <c r="X2" s="97"/>
      <c r="Y2" s="95"/>
    </row>
    <row r="3" spans="1:118" s="78" customFormat="1" ht="32.450000000000003" customHeight="1" x14ac:dyDescent="0.3">
      <c r="A3" s="77"/>
      <c r="B3" s="245"/>
      <c r="C3" s="259"/>
      <c r="D3" s="76"/>
      <c r="E3" s="311"/>
      <c r="F3" s="311"/>
      <c r="G3" s="311"/>
      <c r="H3" s="311"/>
      <c r="I3" s="311"/>
      <c r="J3" s="311"/>
      <c r="K3" s="311"/>
      <c r="L3" s="311"/>
      <c r="M3" s="311"/>
      <c r="N3" s="71"/>
      <c r="O3" s="283"/>
      <c r="P3" s="286"/>
      <c r="Q3" s="286"/>
      <c r="R3" s="317"/>
      <c r="S3" s="286"/>
      <c r="T3" s="286"/>
      <c r="U3" s="286"/>
      <c r="V3" s="286"/>
      <c r="W3" s="286"/>
      <c r="X3" s="146"/>
      <c r="Y3" s="287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4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46"/>
      <c r="DJ3" s="126"/>
      <c r="DK3" s="126"/>
      <c r="DL3" s="126"/>
      <c r="DM3" s="126"/>
      <c r="DN3" s="126"/>
    </row>
    <row r="4" spans="1:118" ht="1.5" customHeight="1" x14ac:dyDescent="0.3">
      <c r="A4" s="71"/>
      <c r="B4" s="320"/>
      <c r="C4" s="257"/>
      <c r="D4" s="72"/>
      <c r="E4" s="71"/>
      <c r="F4" s="71"/>
      <c r="G4" s="71"/>
      <c r="H4" s="71"/>
      <c r="I4" s="71"/>
      <c r="J4" s="71"/>
      <c r="K4" s="71"/>
      <c r="L4" s="71"/>
      <c r="M4" s="71"/>
      <c r="N4" s="71"/>
      <c r="O4" s="125"/>
      <c r="P4" s="97"/>
      <c r="Q4" s="97"/>
      <c r="R4" s="97"/>
      <c r="S4" s="97"/>
      <c r="T4" s="97"/>
      <c r="U4" s="97"/>
      <c r="V4" s="97"/>
      <c r="W4" s="97"/>
      <c r="X4" s="97"/>
    </row>
    <row r="5" spans="1:118" ht="11.35" customHeight="1" x14ac:dyDescent="0.3">
      <c r="A5" s="71"/>
      <c r="B5" s="320"/>
      <c r="C5" s="257"/>
      <c r="D5" s="72"/>
      <c r="E5" s="71"/>
      <c r="F5" s="71"/>
      <c r="G5" s="300" t="s">
        <v>200</v>
      </c>
      <c r="H5" s="318">
        <f>IF(MIN(AC80:AC199)=0,C10+120,MIN(AC80:AC199))</f>
        <v>2093</v>
      </c>
      <c r="I5" s="71"/>
      <c r="J5" s="300" t="s">
        <v>201</v>
      </c>
      <c r="K5" s="318">
        <f>IF(MIN(AB80:AB199)=0,C9+120,MIN(AB80:AB199))</f>
        <v>100</v>
      </c>
      <c r="L5" s="345" t="s">
        <v>202</v>
      </c>
      <c r="M5" s="71"/>
      <c r="N5" s="71"/>
      <c r="O5" s="125"/>
      <c r="P5" s="97"/>
      <c r="Q5" s="97"/>
      <c r="R5" s="97"/>
      <c r="S5" s="97"/>
      <c r="T5" s="97"/>
      <c r="U5" s="97"/>
      <c r="V5" s="97"/>
      <c r="W5" s="97"/>
      <c r="X5" s="97"/>
    </row>
    <row r="6" spans="1:118" ht="1.5" customHeight="1" x14ac:dyDescent="0.3">
      <c r="A6" s="71"/>
      <c r="B6" s="320"/>
      <c r="C6" s="257"/>
      <c r="D6" s="72"/>
      <c r="E6" s="71"/>
      <c r="F6" s="71"/>
      <c r="G6" s="71"/>
      <c r="H6" s="71"/>
      <c r="I6" s="71"/>
      <c r="J6" s="71"/>
      <c r="K6" s="71"/>
      <c r="L6" s="71"/>
      <c r="M6" s="71"/>
      <c r="N6" s="71"/>
      <c r="O6" s="125"/>
      <c r="P6" s="97"/>
      <c r="Q6" s="97"/>
      <c r="R6" s="97"/>
      <c r="S6" s="97"/>
      <c r="T6" s="97"/>
      <c r="U6" s="97"/>
      <c r="V6" s="97"/>
      <c r="W6" s="97"/>
      <c r="X6" s="97"/>
    </row>
    <row r="7" spans="1:118" ht="10.25" customHeight="1" x14ac:dyDescent="0.3">
      <c r="A7" s="71"/>
      <c r="B7" s="321" t="s">
        <v>57</v>
      </c>
      <c r="C7" s="260"/>
      <c r="D7" s="72"/>
      <c r="E7" s="92"/>
      <c r="N7" s="71"/>
      <c r="O7" s="125"/>
      <c r="P7" s="97"/>
      <c r="Q7" s="97"/>
      <c r="R7" s="97"/>
      <c r="S7" s="97"/>
      <c r="T7" s="97"/>
      <c r="U7" s="97"/>
      <c r="V7" s="97"/>
      <c r="W7" s="97"/>
      <c r="X7" s="97"/>
    </row>
    <row r="8" spans="1:118" ht="10.25" customHeight="1" x14ac:dyDescent="0.3">
      <c r="A8" s="71"/>
      <c r="B8" s="246" t="s">
        <v>58</v>
      </c>
      <c r="C8" s="261">
        <v>1993</v>
      </c>
      <c r="D8" s="72"/>
      <c r="E8" s="92"/>
      <c r="N8" s="71"/>
      <c r="O8" s="125"/>
      <c r="P8" s="97"/>
      <c r="Q8" s="97"/>
      <c r="R8" s="97"/>
      <c r="S8" s="97"/>
      <c r="T8" s="97"/>
      <c r="U8" s="97"/>
      <c r="V8" s="97"/>
      <c r="W8" s="97"/>
      <c r="X8" s="97"/>
    </row>
    <row r="9" spans="1:118" ht="10.25" customHeight="1" x14ac:dyDescent="0.3">
      <c r="A9" s="71"/>
      <c r="B9" s="246" t="s">
        <v>59</v>
      </c>
      <c r="C9" s="262">
        <f>C10-C8</f>
        <v>28</v>
      </c>
      <c r="D9" s="72"/>
      <c r="E9" s="92"/>
      <c r="N9" s="71"/>
      <c r="O9" s="125"/>
      <c r="P9" s="97"/>
      <c r="Q9" s="97"/>
      <c r="R9" s="97"/>
      <c r="S9" s="97"/>
      <c r="T9" s="97"/>
      <c r="U9" s="97"/>
      <c r="V9" s="97"/>
      <c r="W9" s="97"/>
      <c r="X9" s="97"/>
    </row>
    <row r="10" spans="1:118" ht="10.25" customHeight="1" x14ac:dyDescent="0.3">
      <c r="A10" s="71"/>
      <c r="B10" s="246" t="s">
        <v>60</v>
      </c>
      <c r="C10" s="261">
        <v>2021</v>
      </c>
      <c r="D10" s="72"/>
      <c r="E10" s="92"/>
      <c r="N10" s="71"/>
      <c r="O10" s="125"/>
      <c r="P10" s="97"/>
      <c r="Q10" s="97"/>
      <c r="R10" s="97"/>
      <c r="S10" s="97"/>
      <c r="T10" s="97"/>
      <c r="U10" s="97"/>
      <c r="V10" s="97"/>
      <c r="W10" s="97"/>
      <c r="X10" s="97"/>
    </row>
    <row r="11" spans="1:118" ht="10.25" customHeight="1" x14ac:dyDescent="0.3">
      <c r="A11" s="71"/>
      <c r="B11" s="246" t="s">
        <v>61</v>
      </c>
      <c r="C11" s="261">
        <v>2038</v>
      </c>
      <c r="D11" s="72"/>
      <c r="E11" s="92"/>
      <c r="N11" s="71"/>
      <c r="O11" s="125"/>
      <c r="P11" s="97"/>
      <c r="Q11" s="97"/>
      <c r="R11" s="97"/>
      <c r="S11" s="97"/>
      <c r="T11" s="97"/>
      <c r="U11" s="97"/>
      <c r="V11" s="97"/>
      <c r="W11" s="97"/>
      <c r="X11" s="97"/>
    </row>
    <row r="12" spans="1:118" ht="10.25" customHeight="1" x14ac:dyDescent="0.3">
      <c r="A12" s="71"/>
      <c r="B12" s="246" t="s">
        <v>62</v>
      </c>
      <c r="C12" s="262">
        <f>C11-C8</f>
        <v>45</v>
      </c>
      <c r="D12" s="72"/>
      <c r="E12" s="92"/>
      <c r="N12" s="71"/>
      <c r="O12" s="125"/>
      <c r="P12" s="97"/>
      <c r="Q12" s="97"/>
      <c r="R12" s="97"/>
      <c r="S12" s="97"/>
      <c r="T12" s="97"/>
      <c r="U12" s="97"/>
      <c r="V12" s="97"/>
      <c r="W12" s="97"/>
      <c r="X12" s="97"/>
    </row>
    <row r="13" spans="1:118" ht="10.25" customHeight="1" x14ac:dyDescent="0.3">
      <c r="A13" s="71"/>
      <c r="B13" s="322" t="s">
        <v>12</v>
      </c>
      <c r="C13" s="263">
        <f>C11-C10</f>
        <v>17</v>
      </c>
      <c r="D13" s="72"/>
      <c r="E13" s="92"/>
      <c r="N13" s="71"/>
      <c r="O13" s="125"/>
      <c r="P13" s="97"/>
      <c r="Q13" s="97"/>
      <c r="R13" s="97"/>
      <c r="S13" s="97"/>
      <c r="T13" s="97"/>
      <c r="U13" s="97"/>
      <c r="V13" s="97"/>
      <c r="W13" s="97"/>
      <c r="X13" s="97"/>
    </row>
    <row r="14" spans="1:118" ht="10.25" customHeight="1" x14ac:dyDescent="0.3">
      <c r="A14" s="71"/>
      <c r="B14" s="246" t="s">
        <v>204</v>
      </c>
      <c r="C14" s="264">
        <v>18000</v>
      </c>
      <c r="D14" s="72"/>
      <c r="E14" s="92"/>
      <c r="N14" s="71"/>
      <c r="O14" s="125"/>
      <c r="P14" s="97"/>
      <c r="Q14" s="97"/>
      <c r="R14" s="97"/>
      <c r="S14" s="97"/>
      <c r="T14" s="97"/>
      <c r="U14" s="97"/>
      <c r="V14" s="97"/>
      <c r="W14" s="97"/>
      <c r="X14" s="97"/>
    </row>
    <row r="15" spans="1:118" ht="10.25" customHeight="1" x14ac:dyDescent="0.3">
      <c r="A15" s="71"/>
      <c r="B15" s="246" t="s">
        <v>205</v>
      </c>
      <c r="C15" s="264">
        <v>42000</v>
      </c>
      <c r="D15" s="72"/>
      <c r="E15" s="92"/>
      <c r="N15" s="71"/>
      <c r="O15" s="125"/>
      <c r="P15" s="97"/>
      <c r="Q15" s="97"/>
      <c r="R15" s="97"/>
      <c r="S15" s="97"/>
      <c r="T15" s="97"/>
      <c r="U15" s="97"/>
      <c r="V15" s="97"/>
      <c r="W15" s="97"/>
      <c r="X15" s="97"/>
    </row>
    <row r="16" spans="1:118" ht="10.25" customHeight="1" x14ac:dyDescent="0.3">
      <c r="A16" s="71"/>
      <c r="B16" s="246" t="s">
        <v>63</v>
      </c>
      <c r="C16" s="265">
        <f>1-(C14/C15)</f>
        <v>0.5714285714285714</v>
      </c>
      <c r="D16" s="72"/>
      <c r="E16" s="92"/>
      <c r="N16" s="71"/>
      <c r="O16" s="125"/>
      <c r="P16" s="97"/>
      <c r="Q16" s="97"/>
      <c r="R16" s="97"/>
      <c r="S16" s="97"/>
      <c r="T16" s="97"/>
      <c r="U16" s="97"/>
      <c r="V16" s="97"/>
      <c r="W16" s="97"/>
      <c r="X16" s="97"/>
    </row>
    <row r="17" spans="1:118" ht="10.25" customHeight="1" x14ac:dyDescent="0.3">
      <c r="A17" s="71"/>
      <c r="B17" s="246" t="s">
        <v>64</v>
      </c>
      <c r="C17" s="264">
        <v>0</v>
      </c>
      <c r="D17" s="72"/>
      <c r="E17" s="92"/>
      <c r="N17" s="71"/>
      <c r="O17" s="125"/>
      <c r="P17" s="97"/>
      <c r="Q17" s="97"/>
      <c r="R17" s="97"/>
      <c r="S17" s="97"/>
      <c r="T17" s="97"/>
      <c r="U17" s="97"/>
      <c r="V17" s="97"/>
      <c r="W17" s="97"/>
      <c r="X17" s="97"/>
      <c r="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</row>
    <row r="18" spans="1:118" ht="10.25" customHeight="1" x14ac:dyDescent="0.3">
      <c r="A18" s="71"/>
      <c r="B18" s="321" t="s">
        <v>186</v>
      </c>
      <c r="C18" s="260"/>
      <c r="D18" s="72"/>
      <c r="E18" s="92"/>
      <c r="N18" s="71"/>
      <c r="O18" s="125"/>
      <c r="P18" s="97"/>
      <c r="Q18" s="97"/>
      <c r="R18" s="97"/>
      <c r="S18" s="97"/>
      <c r="T18" s="97"/>
      <c r="U18" s="97"/>
      <c r="V18" s="97"/>
      <c r="W18" s="97"/>
      <c r="X18" s="97"/>
      <c r="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</row>
    <row r="19" spans="1:118" ht="10.25" customHeight="1" x14ac:dyDescent="0.3">
      <c r="A19" s="71"/>
      <c r="B19" s="246" t="s">
        <v>206</v>
      </c>
      <c r="C19" s="266">
        <v>1.4999999999999999E-2</v>
      </c>
      <c r="D19" s="256"/>
      <c r="E19" s="92"/>
      <c r="N19" s="71"/>
      <c r="O19" s="125"/>
      <c r="P19" s="97"/>
      <c r="Q19" s="97"/>
      <c r="R19" s="97"/>
      <c r="S19" s="97"/>
      <c r="T19" s="97"/>
      <c r="U19" s="97"/>
      <c r="V19" s="97"/>
      <c r="W19" s="97"/>
      <c r="X19" s="97"/>
      <c r="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</row>
    <row r="20" spans="1:118" ht="10.25" customHeight="1" x14ac:dyDescent="0.3">
      <c r="A20" s="71"/>
      <c r="B20" s="246" t="s">
        <v>207</v>
      </c>
      <c r="C20" s="267" t="s">
        <v>35</v>
      </c>
      <c r="D20" s="256"/>
      <c r="E20" s="92"/>
      <c r="N20" s="71"/>
      <c r="O20" s="125"/>
      <c r="P20" s="97"/>
      <c r="Q20" s="97"/>
      <c r="R20" s="97"/>
      <c r="S20" s="97"/>
      <c r="T20" s="97"/>
      <c r="U20" s="97"/>
      <c r="V20" s="97"/>
      <c r="W20" s="97"/>
      <c r="X20" s="97"/>
      <c r="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</row>
    <row r="21" spans="1:118" ht="10.25" customHeight="1" x14ac:dyDescent="0.3">
      <c r="A21" s="71"/>
      <c r="B21" s="246" t="s">
        <v>208</v>
      </c>
      <c r="C21" s="266">
        <v>7.0000000000000007E-2</v>
      </c>
      <c r="D21" s="256"/>
      <c r="E21" s="92"/>
      <c r="N21" s="71"/>
      <c r="O21" s="125"/>
      <c r="P21" s="97"/>
      <c r="Q21" s="97"/>
      <c r="R21" s="97"/>
      <c r="S21" s="97"/>
      <c r="T21" s="97"/>
      <c r="U21" s="97"/>
      <c r="V21" s="97"/>
      <c r="W21" s="97"/>
      <c r="X21" s="97"/>
      <c r="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</row>
    <row r="22" spans="1:118" ht="10.25" customHeight="1" x14ac:dyDescent="0.3">
      <c r="A22" s="71"/>
      <c r="B22" s="337" t="s">
        <v>212</v>
      </c>
      <c r="C22" s="267" t="s">
        <v>36</v>
      </c>
      <c r="D22" s="256"/>
      <c r="E22" s="92"/>
      <c r="N22" s="71"/>
      <c r="O22" s="125"/>
      <c r="P22" s="97"/>
      <c r="Q22" s="97"/>
      <c r="R22" s="97"/>
      <c r="S22" s="97"/>
      <c r="T22" s="97"/>
      <c r="U22" s="97"/>
      <c r="V22" s="97"/>
      <c r="W22" s="97"/>
      <c r="X22" s="97"/>
      <c r="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</row>
    <row r="23" spans="1:118" ht="10.25" customHeight="1" x14ac:dyDescent="0.3">
      <c r="A23" s="71"/>
      <c r="B23" s="337" t="s">
        <v>213</v>
      </c>
      <c r="C23" s="261">
        <v>1978</v>
      </c>
      <c r="D23" s="256"/>
      <c r="E23" s="92"/>
      <c r="N23" s="71"/>
      <c r="O23" s="125"/>
      <c r="P23" s="97"/>
      <c r="Q23" s="97"/>
      <c r="R23" s="97"/>
      <c r="S23" s="97"/>
      <c r="T23" s="97"/>
      <c r="U23" s="97"/>
      <c r="V23" s="97"/>
      <c r="W23" s="97"/>
      <c r="X23" s="97"/>
      <c r="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</row>
    <row r="24" spans="1:118" ht="10.25" customHeight="1" x14ac:dyDescent="0.3">
      <c r="A24" s="71"/>
      <c r="B24" s="321" t="s">
        <v>188</v>
      </c>
      <c r="C24" s="260"/>
      <c r="D24" s="72"/>
      <c r="E24" s="92"/>
      <c r="N24" s="71"/>
      <c r="O24" s="125"/>
      <c r="P24" s="97"/>
      <c r="Q24" s="97"/>
      <c r="R24" s="97"/>
      <c r="S24" s="97"/>
      <c r="T24" s="97"/>
      <c r="U24" s="97"/>
      <c r="V24" s="97"/>
      <c r="W24" s="97"/>
      <c r="X24" s="97"/>
      <c r="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</row>
    <row r="25" spans="1:118" ht="10.25" customHeight="1" x14ac:dyDescent="0.3">
      <c r="A25" s="71"/>
      <c r="B25" s="248" t="s">
        <v>189</v>
      </c>
      <c r="C25" s="267" t="s">
        <v>5</v>
      </c>
      <c r="D25" s="256"/>
      <c r="E25" s="92"/>
      <c r="N25" s="71"/>
      <c r="O25" s="125"/>
      <c r="P25" s="97"/>
      <c r="Q25" s="97"/>
      <c r="R25" s="97"/>
      <c r="S25" s="97"/>
      <c r="T25" s="97"/>
      <c r="U25" s="97"/>
      <c r="V25" s="97"/>
      <c r="W25" s="97"/>
      <c r="X25" s="97"/>
      <c r="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</row>
    <row r="26" spans="1:118" ht="10.25" customHeight="1" x14ac:dyDescent="0.3">
      <c r="A26" s="71"/>
      <c r="B26" s="323" t="s">
        <v>209</v>
      </c>
      <c r="C26" s="269">
        <v>0.02</v>
      </c>
      <c r="D26" s="256"/>
      <c r="E26" s="92"/>
      <c r="N26" s="71"/>
      <c r="O26" s="125"/>
      <c r="P26" s="97"/>
      <c r="Q26" s="97"/>
      <c r="R26" s="97"/>
      <c r="S26" s="97"/>
      <c r="T26" s="97"/>
      <c r="U26" s="97"/>
      <c r="V26" s="97"/>
      <c r="W26" s="97"/>
      <c r="X26" s="97"/>
      <c r="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</row>
    <row r="27" spans="1:118" ht="20.25" customHeight="1" x14ac:dyDescent="0.3">
      <c r="A27" s="71"/>
      <c r="B27" s="249" t="s">
        <v>210</v>
      </c>
      <c r="C27" s="267" t="s">
        <v>35</v>
      </c>
      <c r="D27" s="72"/>
      <c r="E27" s="92"/>
      <c r="N27" s="71"/>
      <c r="O27" s="125"/>
      <c r="P27" s="97"/>
      <c r="Q27" s="97"/>
      <c r="R27" s="97"/>
      <c r="S27" s="97"/>
      <c r="T27" s="97"/>
      <c r="U27" s="97"/>
      <c r="V27" s="97"/>
      <c r="W27" s="97"/>
      <c r="X27" s="97"/>
      <c r="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</row>
    <row r="28" spans="1:118" ht="10.25" customHeight="1" x14ac:dyDescent="0.3">
      <c r="A28" s="71"/>
      <c r="B28" s="321" t="s">
        <v>65</v>
      </c>
      <c r="C28" s="260"/>
      <c r="D28" s="72"/>
      <c r="E28" s="92"/>
      <c r="N28" s="71"/>
      <c r="O28" s="125"/>
      <c r="P28" s="97"/>
      <c r="Q28" s="97"/>
      <c r="R28" s="97"/>
      <c r="S28" s="97"/>
      <c r="T28" s="97"/>
      <c r="U28" s="97"/>
      <c r="V28" s="97"/>
      <c r="W28" s="97"/>
      <c r="X28" s="97"/>
      <c r="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</row>
    <row r="29" spans="1:118" ht="10.25" customHeight="1" x14ac:dyDescent="0.3">
      <c r="A29" s="71"/>
      <c r="B29" s="246" t="s">
        <v>66</v>
      </c>
      <c r="C29" s="270">
        <v>0</v>
      </c>
      <c r="D29" s="256"/>
      <c r="E29" s="92"/>
      <c r="N29" s="71"/>
      <c r="O29" s="125"/>
      <c r="P29" s="97"/>
      <c r="Q29" s="97"/>
      <c r="R29" s="97"/>
      <c r="S29" s="97"/>
      <c r="T29" s="97"/>
      <c r="U29" s="97"/>
      <c r="V29" s="97"/>
      <c r="W29" s="97"/>
      <c r="X29" s="97"/>
      <c r="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</row>
    <row r="30" spans="1:118" ht="10.25" customHeight="1" x14ac:dyDescent="0.3">
      <c r="A30" s="71"/>
      <c r="B30" s="246" t="s">
        <v>67</v>
      </c>
      <c r="C30" s="261">
        <v>67</v>
      </c>
      <c r="D30" s="256"/>
      <c r="E30" s="92"/>
      <c r="N30" s="71"/>
      <c r="O30" s="125"/>
      <c r="P30" s="97"/>
      <c r="Q30" s="97"/>
      <c r="R30" s="97"/>
      <c r="S30" s="97"/>
      <c r="T30" s="97"/>
      <c r="U30" s="97"/>
      <c r="V30" s="97"/>
      <c r="W30" s="97"/>
      <c r="X30" s="97"/>
      <c r="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</row>
    <row r="31" spans="1:118" ht="10.25" customHeight="1" x14ac:dyDescent="0.3">
      <c r="A31" s="71"/>
      <c r="B31" s="246" t="s">
        <v>68</v>
      </c>
      <c r="C31" s="271">
        <v>0.4</v>
      </c>
      <c r="D31" s="256"/>
      <c r="E31" s="92"/>
      <c r="N31" s="71"/>
      <c r="O31" s="125"/>
      <c r="P31" s="97"/>
      <c r="Q31" s="97"/>
      <c r="R31" s="97"/>
      <c r="S31" s="97"/>
      <c r="T31" s="97"/>
      <c r="U31" s="97"/>
      <c r="V31" s="97"/>
      <c r="W31" s="97"/>
      <c r="X31" s="97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</row>
    <row r="32" spans="1:118" ht="2.25" customHeight="1" x14ac:dyDescent="0.3">
      <c r="A32" s="71"/>
      <c r="B32" s="334"/>
      <c r="C32" s="335"/>
      <c r="D32" s="256"/>
      <c r="E32" s="92"/>
      <c r="N32" s="71"/>
      <c r="O32" s="125"/>
      <c r="P32" s="97"/>
      <c r="Q32" s="97"/>
      <c r="R32" s="97"/>
      <c r="S32" s="97"/>
      <c r="T32" s="97"/>
      <c r="U32" s="97"/>
      <c r="V32" s="97"/>
      <c r="W32" s="97"/>
      <c r="X32" s="97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</row>
    <row r="33" spans="1:118" ht="10.25" customHeight="1" x14ac:dyDescent="0.3">
      <c r="A33" s="71"/>
      <c r="B33" s="246" t="s">
        <v>69</v>
      </c>
      <c r="C33" s="270">
        <v>0</v>
      </c>
      <c r="D33" s="256"/>
      <c r="E33" s="92"/>
      <c r="N33" s="71"/>
      <c r="O33" s="125"/>
      <c r="P33" s="97"/>
      <c r="Q33" s="97"/>
      <c r="R33" s="97"/>
      <c r="S33" s="97"/>
      <c r="T33" s="97"/>
      <c r="U33" s="97"/>
      <c r="V33" s="97"/>
      <c r="W33" s="97"/>
      <c r="X33" s="97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</row>
    <row r="34" spans="1:118" ht="10.25" customHeight="1" x14ac:dyDescent="0.3">
      <c r="A34" s="71"/>
      <c r="B34" s="246" t="s">
        <v>70</v>
      </c>
      <c r="C34" s="261">
        <v>67</v>
      </c>
      <c r="D34" s="256"/>
      <c r="E34" s="92"/>
      <c r="F34" s="75"/>
      <c r="G34" s="300"/>
      <c r="H34" s="300"/>
      <c r="I34" s="300"/>
      <c r="J34" s="300"/>
      <c r="K34" s="300"/>
      <c r="L34" s="300"/>
      <c r="M34" s="75"/>
      <c r="N34" s="71"/>
      <c r="O34" s="125"/>
      <c r="P34" s="97"/>
      <c r="Q34" s="97"/>
      <c r="R34" s="97"/>
      <c r="S34" s="97"/>
      <c r="T34" s="97"/>
      <c r="U34" s="97"/>
      <c r="V34" s="97"/>
      <c r="W34" s="97"/>
      <c r="X34" s="97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</row>
    <row r="35" spans="1:118" ht="10.25" customHeight="1" x14ac:dyDescent="0.3">
      <c r="A35" s="71"/>
      <c r="B35" s="246" t="s">
        <v>71</v>
      </c>
      <c r="C35" s="271">
        <v>0.4</v>
      </c>
      <c r="D35" s="256"/>
      <c r="E35" s="92"/>
      <c r="F35" s="75"/>
      <c r="G35" s="300"/>
      <c r="H35" s="300"/>
      <c r="I35" s="300"/>
      <c r="J35" s="300"/>
      <c r="K35" s="300"/>
      <c r="L35" s="300"/>
      <c r="M35" s="75"/>
      <c r="N35" s="71"/>
      <c r="O35" s="125"/>
      <c r="P35" s="97"/>
      <c r="Q35" s="97"/>
      <c r="R35" s="97"/>
      <c r="S35" s="97"/>
      <c r="T35" s="97"/>
      <c r="U35" s="97"/>
      <c r="V35" s="97"/>
      <c r="W35" s="97"/>
      <c r="X35" s="97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</row>
    <row r="36" spans="1:118" ht="10.25" customHeight="1" x14ac:dyDescent="0.3">
      <c r="A36" s="71"/>
      <c r="B36" s="321" t="s">
        <v>187</v>
      </c>
      <c r="C36" s="260"/>
      <c r="D36" s="256"/>
      <c r="E36" s="92"/>
      <c r="F36" s="71"/>
      <c r="G36" s="71"/>
      <c r="H36" s="71"/>
      <c r="I36" s="71"/>
      <c r="J36" s="71"/>
      <c r="K36" s="71"/>
      <c r="L36" s="71"/>
      <c r="M36" s="71"/>
      <c r="N36" s="71"/>
      <c r="O36" s="125"/>
      <c r="P36" s="97"/>
      <c r="Q36" s="97"/>
      <c r="R36" s="97"/>
      <c r="S36" s="97"/>
      <c r="T36" s="97"/>
      <c r="U36" s="97"/>
      <c r="V36" s="97"/>
      <c r="W36" s="97"/>
      <c r="X36" s="97"/>
      <c r="Z36" s="98"/>
      <c r="AA36" s="99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</row>
    <row r="37" spans="1:118" ht="11.65" customHeight="1" x14ac:dyDescent="0.45">
      <c r="A37" s="71"/>
      <c r="B37" s="246" t="s">
        <v>199</v>
      </c>
      <c r="C37" s="266">
        <v>2.5000000000000001E-2</v>
      </c>
      <c r="D37" s="256"/>
      <c r="E37" s="92"/>
      <c r="F37" s="75"/>
      <c r="G37" s="75"/>
      <c r="H37" s="75"/>
      <c r="I37" s="75"/>
      <c r="J37" s="75"/>
      <c r="K37" s="75"/>
      <c r="L37" s="75"/>
      <c r="M37" s="75"/>
      <c r="N37" s="71"/>
      <c r="O37" s="125"/>
      <c r="P37" s="97"/>
      <c r="Q37" s="97"/>
      <c r="R37" s="97"/>
      <c r="S37" s="97"/>
      <c r="T37" s="97"/>
      <c r="U37" s="97"/>
      <c r="V37" s="97"/>
      <c r="W37" s="97"/>
      <c r="X37" s="97"/>
      <c r="Z37" s="96"/>
      <c r="AA37" s="96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</row>
    <row r="38" spans="1:118" ht="20.25" customHeight="1" x14ac:dyDescent="0.45">
      <c r="A38" s="71"/>
      <c r="B38" s="247" t="s">
        <v>214</v>
      </c>
      <c r="C38" s="266">
        <v>0.03</v>
      </c>
      <c r="D38" s="256"/>
      <c r="E38" s="92"/>
      <c r="F38" s="75"/>
      <c r="G38" s="75"/>
      <c r="H38" s="75"/>
      <c r="I38" s="75"/>
      <c r="J38" s="75"/>
      <c r="K38" s="75"/>
      <c r="L38" s="75"/>
      <c r="M38" s="75"/>
      <c r="N38" s="71"/>
      <c r="O38" s="125"/>
      <c r="P38" s="97"/>
      <c r="Q38" s="97"/>
      <c r="R38" s="97"/>
      <c r="S38" s="97"/>
      <c r="T38" s="97"/>
      <c r="U38" s="97"/>
      <c r="V38" s="97"/>
      <c r="W38" s="97"/>
      <c r="X38" s="97"/>
      <c r="Z38" s="100"/>
      <c r="AA38" s="100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</row>
    <row r="39" spans="1:118" ht="21.75" customHeight="1" x14ac:dyDescent="0.45">
      <c r="A39" s="71"/>
      <c r="B39" s="336" t="s">
        <v>211</v>
      </c>
      <c r="C39" s="267" t="s">
        <v>36</v>
      </c>
      <c r="D39" s="256"/>
      <c r="E39" s="92"/>
      <c r="F39" s="125"/>
      <c r="G39" s="125"/>
      <c r="H39" s="125"/>
      <c r="I39" s="125"/>
      <c r="J39" s="125"/>
      <c r="K39" s="125"/>
      <c r="L39" s="125"/>
      <c r="M39" s="125"/>
      <c r="N39" s="71"/>
      <c r="O39" s="125"/>
      <c r="P39" s="97"/>
      <c r="Q39" s="97"/>
      <c r="R39" s="97"/>
      <c r="S39" s="75"/>
      <c r="T39" s="75"/>
      <c r="U39" s="97"/>
      <c r="V39" s="97"/>
      <c r="W39" s="97"/>
      <c r="X39" s="97"/>
      <c r="Z39" s="100"/>
      <c r="AA39" s="100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</row>
    <row r="40" spans="1:118" ht="10.25" customHeight="1" x14ac:dyDescent="0.45">
      <c r="A40" s="71"/>
      <c r="B40" s="321" t="s">
        <v>78</v>
      </c>
      <c r="C40" s="260"/>
      <c r="D40" s="256"/>
      <c r="E40" s="92"/>
      <c r="F40" s="125"/>
      <c r="G40" s="125"/>
      <c r="H40" s="125"/>
      <c r="I40" s="125"/>
      <c r="J40" s="125"/>
      <c r="K40" s="125"/>
      <c r="L40" s="125"/>
      <c r="M40" s="125"/>
      <c r="N40" s="71"/>
      <c r="O40" s="125"/>
      <c r="P40" s="97"/>
      <c r="Q40" s="97"/>
      <c r="R40" s="97"/>
      <c r="S40" s="75"/>
      <c r="T40" s="75"/>
      <c r="U40" s="97"/>
      <c r="V40" s="97"/>
      <c r="W40" s="97"/>
      <c r="X40" s="97"/>
      <c r="Z40" s="100"/>
      <c r="AA40" s="100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</row>
    <row r="41" spans="1:118" ht="10.25" customHeight="1" x14ac:dyDescent="0.45">
      <c r="A41" s="71"/>
      <c r="B41" s="246" t="s">
        <v>72</v>
      </c>
      <c r="C41" s="266">
        <v>0.19</v>
      </c>
      <c r="D41" s="256"/>
      <c r="E41" s="92"/>
      <c r="F41" s="125"/>
      <c r="G41" s="125"/>
      <c r="H41" s="75"/>
      <c r="I41" s="125"/>
      <c r="J41" s="125"/>
      <c r="K41" s="125"/>
      <c r="L41" s="125"/>
      <c r="M41" s="125"/>
      <c r="N41" s="71"/>
      <c r="O41" s="125"/>
      <c r="P41" s="97"/>
      <c r="Q41" s="97"/>
      <c r="R41" s="97"/>
      <c r="S41" s="75"/>
      <c r="T41" s="75"/>
      <c r="U41" s="97"/>
      <c r="V41" s="97"/>
      <c r="W41" s="97"/>
      <c r="X41" s="97"/>
      <c r="Z41" s="100"/>
      <c r="AA41" s="100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</row>
    <row r="42" spans="1:118" ht="10.25" customHeight="1" x14ac:dyDescent="0.5">
      <c r="A42" s="71"/>
      <c r="B42" s="246" t="s">
        <v>190</v>
      </c>
      <c r="C42" s="264">
        <f>200*12</f>
        <v>2400</v>
      </c>
      <c r="D42" s="256"/>
      <c r="E42" s="92"/>
      <c r="F42" s="284"/>
      <c r="G42" s="284"/>
      <c r="H42" s="75"/>
      <c r="I42" s="284"/>
      <c r="J42" s="284"/>
      <c r="K42" s="284"/>
      <c r="L42" s="284"/>
      <c r="M42" s="284"/>
      <c r="N42" s="71"/>
      <c r="O42" s="284"/>
      <c r="P42" s="288"/>
      <c r="Q42" s="288"/>
      <c r="R42" s="288"/>
      <c r="S42" s="75"/>
      <c r="T42" s="75"/>
      <c r="U42" s="288"/>
      <c r="V42" s="288"/>
      <c r="W42" s="97"/>
      <c r="X42" s="97"/>
      <c r="Z42" s="90"/>
      <c r="AA42" s="90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</row>
    <row r="43" spans="1:118" ht="10.25" customHeight="1" x14ac:dyDescent="0.5">
      <c r="A43" s="71"/>
      <c r="B43" s="324" t="s">
        <v>191</v>
      </c>
      <c r="C43" s="272">
        <f>900*12</f>
        <v>10800</v>
      </c>
      <c r="D43" s="256"/>
      <c r="E43" s="92"/>
      <c r="F43" s="284"/>
      <c r="G43" s="284"/>
      <c r="H43" s="301"/>
      <c r="I43" s="284"/>
      <c r="J43" s="284"/>
      <c r="K43" s="284"/>
      <c r="L43" s="284"/>
      <c r="M43" s="284"/>
      <c r="N43" s="71"/>
      <c r="O43" s="284"/>
      <c r="P43" s="288"/>
      <c r="Q43" s="288"/>
      <c r="R43" s="288"/>
      <c r="S43" s="75"/>
      <c r="T43" s="288"/>
      <c r="U43" s="288"/>
      <c r="V43" s="288"/>
      <c r="W43" s="97"/>
      <c r="X43" s="97"/>
      <c r="Z43" s="90"/>
      <c r="AA43" s="90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</row>
    <row r="44" spans="1:118" ht="10.25" customHeight="1" x14ac:dyDescent="0.45">
      <c r="A44" s="71"/>
      <c r="B44" s="324" t="s">
        <v>192</v>
      </c>
      <c r="C44" s="266">
        <v>1.4999999999999999E-2</v>
      </c>
      <c r="D44" s="256"/>
      <c r="E44" s="92"/>
      <c r="F44" s="125"/>
      <c r="G44" s="125"/>
      <c r="H44" s="125"/>
      <c r="I44" s="125"/>
      <c r="J44" s="125"/>
      <c r="K44" s="125"/>
      <c r="L44" s="125"/>
      <c r="M44" s="125"/>
      <c r="N44" s="71"/>
      <c r="O44" s="125"/>
      <c r="P44" s="97"/>
      <c r="Q44" s="97"/>
      <c r="R44" s="97"/>
      <c r="S44" s="97"/>
      <c r="T44" s="97"/>
      <c r="U44" s="97"/>
      <c r="V44" s="97"/>
      <c r="W44" s="97"/>
      <c r="X44" s="97"/>
      <c r="Z44" s="96"/>
      <c r="AA44" s="96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</row>
    <row r="45" spans="1:118" ht="10.25" customHeight="1" x14ac:dyDescent="0.45">
      <c r="A45" s="71"/>
      <c r="B45" s="321" t="s">
        <v>198</v>
      </c>
      <c r="C45" s="260"/>
      <c r="D45" s="256"/>
      <c r="E45" s="92"/>
      <c r="F45" s="85"/>
      <c r="G45" s="85"/>
      <c r="H45" s="85"/>
      <c r="I45" s="85"/>
      <c r="J45" s="85"/>
      <c r="K45" s="85"/>
      <c r="L45" s="85"/>
      <c r="M45" s="85"/>
      <c r="N45" s="71"/>
      <c r="O45" s="86"/>
      <c r="P45" s="86"/>
      <c r="Q45" s="84"/>
      <c r="R45" s="84"/>
      <c r="S45" s="84"/>
      <c r="T45" s="84"/>
      <c r="U45" s="84"/>
      <c r="V45" s="84"/>
      <c r="W45" s="84"/>
      <c r="X45" s="84"/>
      <c r="Z45" s="91"/>
      <c r="AA45" s="91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</row>
    <row r="46" spans="1:118" ht="10.25" customHeight="1" x14ac:dyDescent="0.3">
      <c r="A46" s="71"/>
      <c r="B46" s="246" t="s">
        <v>84</v>
      </c>
      <c r="C46" s="266">
        <v>0.26374999999999998</v>
      </c>
      <c r="D46" s="256"/>
      <c r="E46" s="92"/>
      <c r="F46" s="251"/>
      <c r="G46" s="251"/>
      <c r="H46" s="251"/>
      <c r="I46" s="251"/>
      <c r="J46" s="251"/>
      <c r="K46" s="251"/>
      <c r="L46" s="251"/>
      <c r="M46" s="251"/>
      <c r="N46" s="71"/>
      <c r="O46" s="190"/>
      <c r="P46" s="254"/>
      <c r="Q46" s="97"/>
      <c r="R46" s="97"/>
      <c r="S46" s="97"/>
      <c r="T46" s="97"/>
      <c r="U46" s="97"/>
      <c r="V46" s="97"/>
      <c r="W46" s="97"/>
      <c r="X46" s="97"/>
      <c r="Z46" s="97"/>
      <c r="AA46" s="97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</row>
    <row r="47" spans="1:118" ht="10.25" customHeight="1" x14ac:dyDescent="0.3">
      <c r="A47" s="71"/>
      <c r="B47" s="246" t="s">
        <v>196</v>
      </c>
      <c r="C47" s="261">
        <v>801</v>
      </c>
      <c r="D47" s="256"/>
      <c r="E47" s="92"/>
      <c r="F47" s="251"/>
      <c r="G47" s="251"/>
      <c r="H47" s="251"/>
      <c r="I47" s="251"/>
      <c r="J47" s="251"/>
      <c r="K47" s="251"/>
      <c r="L47" s="251"/>
      <c r="M47" s="251"/>
      <c r="N47" s="71"/>
      <c r="O47" s="190"/>
      <c r="P47" s="254"/>
      <c r="Q47" s="97"/>
      <c r="R47" s="97"/>
      <c r="S47" s="97"/>
      <c r="T47" s="97"/>
      <c r="U47" s="97"/>
      <c r="V47" s="97"/>
      <c r="W47" s="97"/>
      <c r="X47" s="97"/>
      <c r="Z47" s="97"/>
      <c r="AA47" s="97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</row>
    <row r="48" spans="1:118" ht="10.25" customHeight="1" x14ac:dyDescent="0.3">
      <c r="A48" s="71"/>
      <c r="B48" s="323" t="s">
        <v>194</v>
      </c>
      <c r="C48" s="273">
        <v>6.9999999999999999E-4</v>
      </c>
      <c r="D48" s="256"/>
      <c r="E48" s="92"/>
      <c r="F48" s="251"/>
      <c r="G48" s="251"/>
      <c r="H48" s="251"/>
      <c r="I48" s="251"/>
      <c r="J48" s="251"/>
      <c r="K48" s="251"/>
      <c r="L48" s="251"/>
      <c r="M48" s="251"/>
      <c r="N48" s="71"/>
      <c r="O48" s="190"/>
      <c r="P48" s="254"/>
      <c r="Q48" s="97"/>
      <c r="R48" s="97"/>
      <c r="S48" s="97"/>
      <c r="T48" s="97"/>
      <c r="U48" s="97"/>
      <c r="V48" s="97"/>
      <c r="W48" s="97"/>
      <c r="X48" s="97"/>
      <c r="Z48" s="97"/>
      <c r="AA48" s="97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</row>
    <row r="49" spans="1:212" s="84" customFormat="1" ht="10.25" customHeight="1" x14ac:dyDescent="0.5">
      <c r="A49" s="71"/>
      <c r="B49" s="323" t="s">
        <v>195</v>
      </c>
      <c r="C49" s="274">
        <v>0.7</v>
      </c>
      <c r="D49" s="256"/>
      <c r="E49" s="92"/>
      <c r="F49" s="85"/>
      <c r="G49" s="85"/>
      <c r="H49" s="85"/>
      <c r="I49" s="85"/>
      <c r="J49" s="85"/>
      <c r="K49" s="85"/>
      <c r="L49" s="85"/>
      <c r="M49" s="85"/>
      <c r="N49" s="71"/>
      <c r="O49" s="86"/>
      <c r="P49" s="86"/>
      <c r="Y49" s="70"/>
      <c r="Z49" s="87"/>
      <c r="AA49" s="88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</row>
    <row r="50" spans="1:212" s="84" customFormat="1" ht="22.5" customHeight="1" x14ac:dyDescent="0.5">
      <c r="A50" s="71"/>
      <c r="B50" s="247" t="s">
        <v>215</v>
      </c>
      <c r="C50" s="267" t="s">
        <v>36</v>
      </c>
      <c r="D50" s="256"/>
      <c r="E50" s="92"/>
      <c r="F50" s="85"/>
      <c r="G50" s="85"/>
      <c r="H50" s="85"/>
      <c r="I50" s="85"/>
      <c r="J50" s="85"/>
      <c r="K50" s="85"/>
      <c r="L50" s="85"/>
      <c r="M50" s="85"/>
      <c r="N50" s="71"/>
      <c r="O50" s="86"/>
      <c r="P50" s="86"/>
      <c r="Y50" s="70"/>
      <c r="Z50" s="87"/>
      <c r="AA50" s="88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</row>
    <row r="51" spans="1:212" s="84" customFormat="1" ht="10.25" customHeight="1" x14ac:dyDescent="0.5">
      <c r="A51" s="71"/>
      <c r="B51" s="325" t="s">
        <v>216</v>
      </c>
      <c r="C51" s="275">
        <v>9984</v>
      </c>
      <c r="D51" s="256"/>
      <c r="E51" s="92"/>
      <c r="F51" s="85"/>
      <c r="G51" s="85"/>
      <c r="H51" s="85"/>
      <c r="I51" s="85"/>
      <c r="J51" s="85"/>
      <c r="K51" s="85"/>
      <c r="L51" s="85"/>
      <c r="M51" s="85"/>
      <c r="N51" s="71"/>
      <c r="O51" s="86"/>
      <c r="P51" s="86"/>
      <c r="Y51" s="70"/>
      <c r="Z51" s="87"/>
      <c r="AA51" s="88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</row>
    <row r="52" spans="1:212" s="84" customFormat="1" ht="10.25" customHeight="1" x14ac:dyDescent="0.5">
      <c r="A52" s="71"/>
      <c r="B52" s="338" t="s">
        <v>197</v>
      </c>
      <c r="C52" s="346">
        <v>0.14000000000000001</v>
      </c>
      <c r="D52" s="256"/>
      <c r="E52" s="92"/>
      <c r="F52" s="85"/>
      <c r="G52" s="85"/>
      <c r="H52" s="85"/>
      <c r="I52" s="85"/>
      <c r="J52" s="85"/>
      <c r="K52" s="85"/>
      <c r="L52" s="85"/>
      <c r="M52" s="85"/>
      <c r="N52" s="71"/>
      <c r="O52" s="86"/>
      <c r="P52" s="86"/>
      <c r="Y52" s="70"/>
      <c r="Z52" s="87"/>
      <c r="AA52" s="88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</row>
    <row r="53" spans="1:212" s="84" customFormat="1" ht="10.25" customHeight="1" x14ac:dyDescent="0.5">
      <c r="A53" s="71"/>
      <c r="B53" s="325" t="s">
        <v>217</v>
      </c>
      <c r="C53" s="275">
        <v>14926</v>
      </c>
      <c r="D53" s="256"/>
      <c r="E53" s="92"/>
      <c r="F53" s="85"/>
      <c r="G53" s="85"/>
      <c r="H53" s="85"/>
      <c r="I53" s="85"/>
      <c r="J53" s="85"/>
      <c r="K53" s="85"/>
      <c r="L53" s="85"/>
      <c r="M53" s="85"/>
      <c r="N53" s="71"/>
      <c r="O53" s="86"/>
      <c r="P53" s="86"/>
      <c r="Y53" s="70"/>
      <c r="Z53" s="87"/>
      <c r="AA53" s="88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</row>
    <row r="54" spans="1:212" s="84" customFormat="1" ht="10.25" customHeight="1" x14ac:dyDescent="0.5">
      <c r="A54" s="71"/>
      <c r="B54" s="338" t="s">
        <v>197</v>
      </c>
      <c r="C54" s="346">
        <v>0.24</v>
      </c>
      <c r="D54" s="256"/>
      <c r="E54" s="92"/>
      <c r="F54" s="85"/>
      <c r="G54" s="85"/>
      <c r="H54" s="85"/>
      <c r="I54" s="85"/>
      <c r="J54" s="85"/>
      <c r="K54" s="85"/>
      <c r="L54" s="85"/>
      <c r="M54" s="85"/>
      <c r="N54" s="71"/>
      <c r="O54" s="86"/>
      <c r="P54" s="86"/>
      <c r="Y54" s="70"/>
      <c r="Z54" s="87"/>
      <c r="AA54" s="88"/>
      <c r="AF54" s="84" t="s">
        <v>0</v>
      </c>
      <c r="AG54" s="84" t="s">
        <v>18</v>
      </c>
      <c r="AH54" s="84" t="s">
        <v>20</v>
      </c>
      <c r="AI54" s="84" t="s">
        <v>17</v>
      </c>
      <c r="AJ54" s="84" t="s">
        <v>19</v>
      </c>
      <c r="AK54" s="84" t="s">
        <v>38</v>
      </c>
      <c r="AL54" s="84" t="s">
        <v>22</v>
      </c>
      <c r="AM54" s="84" t="s">
        <v>23</v>
      </c>
      <c r="AN54" s="84" t="s">
        <v>24</v>
      </c>
      <c r="AO54" s="84" t="s">
        <v>25</v>
      </c>
      <c r="AP54" s="84" t="s">
        <v>26</v>
      </c>
      <c r="AQ54" s="84" t="s">
        <v>8</v>
      </c>
      <c r="AR54" s="84" t="s">
        <v>9</v>
      </c>
      <c r="AS54" s="84" t="s">
        <v>1</v>
      </c>
      <c r="AT54" s="84" t="s">
        <v>21</v>
      </c>
      <c r="AU54" s="84" t="s">
        <v>42</v>
      </c>
      <c r="AV54" s="84" t="s">
        <v>38</v>
      </c>
      <c r="AW54" s="84" t="s">
        <v>45</v>
      </c>
      <c r="AX54" s="84" t="s">
        <v>46</v>
      </c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</row>
    <row r="55" spans="1:212" s="84" customFormat="1" ht="10.25" customHeight="1" x14ac:dyDescent="0.5">
      <c r="A55" s="71"/>
      <c r="B55" s="325" t="s">
        <v>218</v>
      </c>
      <c r="C55" s="275">
        <v>58596</v>
      </c>
      <c r="D55" s="256"/>
      <c r="E55" s="92"/>
      <c r="F55" s="85"/>
      <c r="G55" s="85"/>
      <c r="H55" s="85"/>
      <c r="I55" s="85"/>
      <c r="J55" s="85"/>
      <c r="K55" s="85"/>
      <c r="L55" s="85"/>
      <c r="M55" s="85"/>
      <c r="N55" s="71"/>
      <c r="O55" s="86"/>
      <c r="P55" s="86"/>
      <c r="Y55" s="70"/>
      <c r="Z55" s="87"/>
      <c r="AA55" s="88"/>
      <c r="AF55" s="84">
        <v>1</v>
      </c>
      <c r="AG55" s="294">
        <v>-24000</v>
      </c>
      <c r="AH55" s="294">
        <v>24000</v>
      </c>
      <c r="AI55" s="294">
        <v>0</v>
      </c>
      <c r="AJ55" s="294">
        <v>24000</v>
      </c>
      <c r="AK55" s="294">
        <v>25440</v>
      </c>
      <c r="AL55" s="294">
        <v>1440</v>
      </c>
      <c r="AM55" s="294">
        <v>11.76</v>
      </c>
      <c r="AN55" s="294">
        <v>457.91999999999996</v>
      </c>
      <c r="AO55" s="294">
        <v>0</v>
      </c>
      <c r="AP55" s="294">
        <v>0</v>
      </c>
      <c r="AQ55" s="294">
        <v>0</v>
      </c>
      <c r="AR55" s="294">
        <v>0</v>
      </c>
      <c r="AS55" s="294">
        <v>457.91999999999996</v>
      </c>
      <c r="AT55" s="294">
        <v>24000</v>
      </c>
      <c r="AU55" s="294">
        <v>0</v>
      </c>
      <c r="AV55" s="294">
        <v>25440</v>
      </c>
      <c r="AW55" s="294">
        <v>0</v>
      </c>
      <c r="AX55" s="294">
        <v>0</v>
      </c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</row>
    <row r="56" spans="1:212" s="84" customFormat="1" ht="10.25" customHeight="1" x14ac:dyDescent="0.5">
      <c r="A56" s="71"/>
      <c r="B56" s="338" t="s">
        <v>197</v>
      </c>
      <c r="C56" s="346">
        <v>0.42</v>
      </c>
      <c r="D56" s="256"/>
      <c r="E56" s="92"/>
      <c r="F56" s="85"/>
      <c r="G56" s="85"/>
      <c r="H56" s="85"/>
      <c r="I56" s="85"/>
      <c r="J56" s="85"/>
      <c r="K56" s="85"/>
      <c r="L56" s="85"/>
      <c r="M56" s="85"/>
      <c r="N56" s="71"/>
      <c r="O56" s="86"/>
      <c r="P56" s="86"/>
      <c r="Y56" s="70"/>
      <c r="Z56" s="87"/>
      <c r="AA56" s="88"/>
      <c r="AF56" s="84">
        <v>2</v>
      </c>
      <c r="AG56" s="294">
        <v>-24000</v>
      </c>
      <c r="AH56" s="294">
        <v>48457.919999999998</v>
      </c>
      <c r="AI56" s="294">
        <v>24982.080000000002</v>
      </c>
      <c r="AJ56" s="294">
        <v>24457.919999999998</v>
      </c>
      <c r="AK56" s="294">
        <v>52406.400000000001</v>
      </c>
      <c r="AL56" s="294">
        <v>2966.4000000000015</v>
      </c>
      <c r="AM56" s="294">
        <v>24.225599999999996</v>
      </c>
      <c r="AN56" s="294">
        <v>943.3152</v>
      </c>
      <c r="AO56" s="294">
        <v>0</v>
      </c>
      <c r="AP56" s="294">
        <v>0</v>
      </c>
      <c r="AQ56" s="294">
        <v>0</v>
      </c>
      <c r="AR56" s="294">
        <v>0</v>
      </c>
      <c r="AS56" s="294">
        <v>943.3152</v>
      </c>
      <c r="AT56" s="294">
        <v>48000</v>
      </c>
      <c r="AU56" s="294">
        <v>0</v>
      </c>
      <c r="AV56" s="294">
        <v>52406.400000000001</v>
      </c>
      <c r="AW56" s="294">
        <v>457.91999999999825</v>
      </c>
      <c r="AX56" s="294">
        <v>457.91999999999825</v>
      </c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</row>
    <row r="57" spans="1:212" s="84" customFormat="1" ht="10.25" customHeight="1" x14ac:dyDescent="0.5">
      <c r="A57" s="71"/>
      <c r="B57" s="325" t="s">
        <v>193</v>
      </c>
      <c r="C57" s="266">
        <v>0</v>
      </c>
      <c r="D57" s="256"/>
      <c r="E57" s="92"/>
      <c r="F57" s="85"/>
      <c r="G57" s="85"/>
      <c r="H57" s="85"/>
      <c r="I57" s="85"/>
      <c r="J57" s="85"/>
      <c r="K57" s="85"/>
      <c r="L57" s="85"/>
      <c r="M57" s="85"/>
      <c r="N57" s="71"/>
      <c r="O57" s="86"/>
      <c r="P57" s="86"/>
      <c r="Y57" s="70"/>
      <c r="Z57" s="87"/>
      <c r="AA57" s="88"/>
      <c r="AF57" s="84">
        <v>3</v>
      </c>
      <c r="AG57" s="294">
        <v>-24000</v>
      </c>
      <c r="AH57" s="294">
        <v>73401.235199999996</v>
      </c>
      <c r="AI57" s="294">
        <v>51463.084800000004</v>
      </c>
      <c r="AJ57" s="294">
        <v>24943.315200000001</v>
      </c>
      <c r="AK57" s="294">
        <v>80990.784000000014</v>
      </c>
      <c r="AL57" s="294">
        <v>4584.3840000000055</v>
      </c>
      <c r="AM57" s="294">
        <v>37.439135999999998</v>
      </c>
      <c r="AN57" s="294">
        <v>1457.8341120000002</v>
      </c>
      <c r="AO57" s="294">
        <v>0</v>
      </c>
      <c r="AP57" s="294">
        <v>0</v>
      </c>
      <c r="AQ57" s="294">
        <v>0</v>
      </c>
      <c r="AR57" s="294">
        <v>57.888872928000019</v>
      </c>
      <c r="AS57" s="294">
        <v>1399.9452390720003</v>
      </c>
      <c r="AT57" s="294">
        <v>72000</v>
      </c>
      <c r="AU57" s="294">
        <v>57.888872928000019</v>
      </c>
      <c r="AV57" s="294">
        <v>80990.784000000014</v>
      </c>
      <c r="AW57" s="294">
        <v>943.31520000000091</v>
      </c>
      <c r="AX57" s="294">
        <v>1401.2351999999992</v>
      </c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</row>
    <row r="58" spans="1:212" s="84" customFormat="1" ht="10.9" customHeight="1" x14ac:dyDescent="0.5">
      <c r="A58" s="71"/>
      <c r="B58" s="326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86"/>
      <c r="P58" s="86"/>
      <c r="Y58" s="70"/>
      <c r="Z58" s="87"/>
      <c r="AA58" s="88"/>
      <c r="AK58" s="86">
        <f>AI83-AK57</f>
        <v>15296.13631771192</v>
      </c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</row>
    <row r="59" spans="1:212" s="84" customFormat="1" ht="24.85" customHeight="1" x14ac:dyDescent="0.5">
      <c r="A59" s="125"/>
      <c r="B59" s="317"/>
      <c r="C59" s="317"/>
      <c r="D59" s="293"/>
      <c r="F59" s="85"/>
      <c r="G59" s="85"/>
      <c r="H59" s="85"/>
      <c r="I59" s="85"/>
      <c r="J59" s="85"/>
      <c r="K59" s="85"/>
      <c r="L59" s="85"/>
      <c r="M59" s="85"/>
      <c r="N59" s="125"/>
      <c r="O59" s="86"/>
      <c r="P59" s="86"/>
      <c r="Y59" s="70"/>
      <c r="Z59" s="87"/>
      <c r="AA59" s="88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</row>
    <row r="60" spans="1:212" s="84" customFormat="1" ht="22.9" customHeight="1" x14ac:dyDescent="0.45">
      <c r="A60" s="125"/>
      <c r="B60" s="317"/>
      <c r="C60" s="317"/>
      <c r="D60" s="293"/>
      <c r="F60" s="85"/>
      <c r="G60" s="85"/>
      <c r="H60" s="85"/>
      <c r="I60" s="85"/>
      <c r="J60" s="85"/>
      <c r="K60" s="85"/>
      <c r="L60" s="85"/>
      <c r="M60" s="85"/>
      <c r="N60" s="125"/>
      <c r="O60" s="86"/>
      <c r="P60" s="86"/>
      <c r="Y60" s="83"/>
      <c r="Z60" s="89"/>
      <c r="AA60" s="88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</row>
    <row r="61" spans="1:212" s="84" customFormat="1" ht="10.9" customHeight="1" x14ac:dyDescent="0.3">
      <c r="A61" s="125"/>
      <c r="B61" s="317"/>
      <c r="C61" s="317"/>
      <c r="N61" s="125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</row>
    <row r="62" spans="1:212" ht="10.9" customHeight="1" x14ac:dyDescent="0.35">
      <c r="A62" s="97"/>
      <c r="B62" s="327"/>
      <c r="C62" s="276"/>
      <c r="D62" s="97"/>
      <c r="E62" s="97"/>
      <c r="F62" s="253"/>
      <c r="G62" s="253"/>
      <c r="H62" s="253"/>
      <c r="I62" s="253"/>
      <c r="J62" s="253"/>
      <c r="K62" s="253"/>
      <c r="L62" s="253"/>
      <c r="M62" s="253"/>
      <c r="N62" s="97"/>
      <c r="O62" s="254"/>
      <c r="P62" s="254"/>
      <c r="Q62" s="97"/>
      <c r="R62" s="97"/>
      <c r="S62" s="97"/>
      <c r="T62" s="97"/>
      <c r="U62" s="97"/>
      <c r="V62" s="97"/>
      <c r="W62" s="97"/>
      <c r="X62" s="97"/>
      <c r="Y62" s="25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69" t="s">
        <v>55</v>
      </c>
      <c r="DG62" s="234">
        <v>1</v>
      </c>
      <c r="DH62" s="75"/>
      <c r="DI62" s="75"/>
      <c r="DJ62" s="75"/>
      <c r="DK62" s="75"/>
      <c r="DL62" s="75"/>
      <c r="DM62" s="75"/>
      <c r="DN62" s="75"/>
    </row>
    <row r="63" spans="1:212" ht="10.9" customHeight="1" x14ac:dyDescent="0.35">
      <c r="A63" s="97"/>
      <c r="B63" s="327"/>
      <c r="C63" s="276"/>
      <c r="D63" s="97"/>
      <c r="E63" s="97"/>
      <c r="F63" s="253"/>
      <c r="G63" s="253"/>
      <c r="H63" s="253"/>
      <c r="I63" s="253"/>
      <c r="J63" s="253"/>
      <c r="K63" s="253"/>
      <c r="L63" s="253"/>
      <c r="M63" s="253"/>
      <c r="N63" s="97"/>
      <c r="O63" s="254"/>
      <c r="P63" s="254"/>
      <c r="Q63" s="97"/>
      <c r="R63" s="97"/>
      <c r="S63" s="97"/>
      <c r="T63" s="97"/>
      <c r="U63" s="97"/>
      <c r="V63" s="97"/>
      <c r="W63" s="97"/>
      <c r="X63" s="97"/>
      <c r="Y63" s="25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</row>
    <row r="64" spans="1:212" s="74" customFormat="1" ht="10.9" customHeight="1" x14ac:dyDescent="0.45">
      <c r="A64" s="97"/>
      <c r="B64" s="328"/>
      <c r="C64" s="277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P64" s="75"/>
      <c r="AQ64" s="75"/>
      <c r="AR64" s="75"/>
      <c r="AS64" s="75"/>
      <c r="AT64" s="75"/>
      <c r="AU64" s="75"/>
      <c r="AV64" s="75"/>
      <c r="AW64" s="75"/>
      <c r="AX64" s="7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97"/>
      <c r="CV64" s="164"/>
      <c r="CW64" s="164"/>
      <c r="CX64" s="125"/>
      <c r="CY64" s="84"/>
      <c r="CZ64" s="84"/>
      <c r="DA64" s="84"/>
      <c r="DB64" s="84"/>
      <c r="DC64" s="84"/>
      <c r="DD64" s="84"/>
      <c r="DE64" s="125"/>
      <c r="DF64" s="125"/>
      <c r="DG64" s="125"/>
      <c r="DH64" s="97"/>
      <c r="DI64" s="125"/>
      <c r="DJ64"/>
      <c r="DK64" s="125"/>
      <c r="DL64" s="125"/>
      <c r="DM64" s="12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</row>
    <row r="65" spans="1:212" s="74" customFormat="1" ht="10.9" customHeight="1" thickBot="1" x14ac:dyDescent="0.5">
      <c r="A65" s="97"/>
      <c r="B65" s="328"/>
      <c r="C65" s="277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</row>
    <row r="66" spans="1:212" s="74" customFormat="1" ht="10.9" customHeight="1" thickTop="1" x14ac:dyDescent="0.45">
      <c r="A66" s="97"/>
      <c r="B66" s="328"/>
      <c r="C66" s="277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AC66" s="84"/>
      <c r="AD66" s="305" t="s">
        <v>87</v>
      </c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6"/>
      <c r="BI66" s="306"/>
      <c r="BJ66" s="307"/>
      <c r="BK66" s="84"/>
      <c r="BL66" s="224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312" t="s">
        <v>155</v>
      </c>
      <c r="CA66" s="312"/>
      <c r="CB66" s="312"/>
      <c r="CC66" s="312"/>
      <c r="CD66" s="312"/>
      <c r="CE66" s="312"/>
      <c r="CF66" s="312"/>
      <c r="CG66" s="226">
        <f t="array" ref="CG66">IF(SUM($AG$80:$AG$156)&lt;&gt;0,SUM($AG$80:$AG$156)/SUM(IF($AG$80:$AG$156&lt;&gt;0,1,0)),0)</f>
        <v>25346.575199158644</v>
      </c>
      <c r="CH66" s="227"/>
      <c r="CI66" s="228">
        <f>C52</f>
        <v>0.14000000000000001</v>
      </c>
      <c r="CJ66" s="228"/>
      <c r="CK66" s="228">
        <f>C54</f>
        <v>0.24</v>
      </c>
      <c r="CL66" s="228"/>
      <c r="CM66" s="228">
        <f>C56</f>
        <v>0.42</v>
      </c>
      <c r="CN66" s="227"/>
      <c r="CO66" s="227"/>
      <c r="CP66" s="227"/>
      <c r="CQ66" s="227"/>
      <c r="CR66" s="227"/>
      <c r="CS66" s="227"/>
      <c r="CT66" s="229"/>
      <c r="CU66" s="84"/>
      <c r="CV66" s="206"/>
      <c r="CW66" s="207"/>
      <c r="CX66" s="207"/>
      <c r="CY66" s="208"/>
      <c r="CZ66" s="208"/>
      <c r="DA66" s="209"/>
      <c r="DB66" s="209"/>
      <c r="DC66" s="209"/>
      <c r="DD66" s="209"/>
      <c r="DE66" s="209"/>
      <c r="DF66" s="209"/>
      <c r="DG66" s="210"/>
      <c r="DH66" s="84"/>
      <c r="DI66" s="84"/>
      <c r="DJ66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</row>
    <row r="67" spans="1:212" s="74" customFormat="1" ht="10.9" customHeight="1" x14ac:dyDescent="0.45">
      <c r="A67" s="97"/>
      <c r="B67" s="328"/>
      <c r="C67" s="277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AC67" s="84"/>
      <c r="AD67" s="308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10"/>
      <c r="BK67" s="84"/>
      <c r="BL67" s="20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89"/>
      <c r="CA67" s="233"/>
      <c r="CB67" s="189"/>
      <c r="CC67" s="189"/>
      <c r="CD67" s="189"/>
      <c r="CE67" s="189"/>
      <c r="CF67" s="189"/>
      <c r="CG67" s="204"/>
      <c r="CH67" s="161"/>
      <c r="CI67" s="162"/>
      <c r="CJ67" s="162"/>
      <c r="CK67" s="162"/>
      <c r="CL67" s="162"/>
      <c r="CM67" s="162"/>
      <c r="CN67" s="161"/>
      <c r="CO67" s="161"/>
      <c r="CP67" s="161"/>
      <c r="CQ67" s="161"/>
      <c r="CR67" s="161"/>
      <c r="CS67" s="161"/>
      <c r="CT67" s="197"/>
      <c r="CU67" s="84"/>
      <c r="CV67" s="21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212"/>
      <c r="DH67" s="84"/>
      <c r="DI67" s="84"/>
      <c r="DJ67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</row>
    <row r="68" spans="1:212" s="74" customFormat="1" ht="10.9" customHeight="1" x14ac:dyDescent="0.45">
      <c r="A68" s="97"/>
      <c r="B68" s="328"/>
      <c r="C68" s="277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AC68" s="84"/>
      <c r="AD68" s="308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09"/>
      <c r="AQ68" s="309"/>
      <c r="AR68" s="309"/>
      <c r="AS68" s="309"/>
      <c r="AT68" s="309"/>
      <c r="AU68" s="309"/>
      <c r="AV68" s="309"/>
      <c r="AW68" s="309"/>
      <c r="AX68" s="309"/>
      <c r="AY68" s="309"/>
      <c r="AZ68" s="309"/>
      <c r="BA68" s="309"/>
      <c r="BB68" s="309"/>
      <c r="BC68" s="309"/>
      <c r="BD68" s="309"/>
      <c r="BE68" s="309"/>
      <c r="BF68" s="309"/>
      <c r="BG68" s="309"/>
      <c r="BH68" s="309"/>
      <c r="BI68" s="309"/>
      <c r="BJ68" s="310"/>
      <c r="BK68" s="84"/>
      <c r="BL68" s="302" t="s">
        <v>179</v>
      </c>
      <c r="BM68" s="303"/>
      <c r="BN68" s="303"/>
      <c r="BO68" s="303"/>
      <c r="BP68" s="303"/>
      <c r="BQ68" s="303"/>
      <c r="BR68" s="303"/>
      <c r="BS68" s="303"/>
      <c r="BT68" s="303"/>
      <c r="BU68" s="303"/>
      <c r="BV68" s="303"/>
      <c r="BW68" s="303"/>
      <c r="BX68" s="303"/>
      <c r="BY68" s="303"/>
      <c r="BZ68" s="303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4"/>
      <c r="CU68" s="84"/>
      <c r="CV68" s="213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212"/>
      <c r="DH68" s="84"/>
      <c r="DI68" s="84"/>
      <c r="DJ68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</row>
    <row r="69" spans="1:212" s="74" customFormat="1" ht="10.9" customHeight="1" x14ac:dyDescent="0.35">
      <c r="A69" s="97"/>
      <c r="B69" s="328"/>
      <c r="C69" s="278"/>
      <c r="D69" s="8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AC69" s="84"/>
      <c r="AD69" s="308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09"/>
      <c r="AQ69" s="309"/>
      <c r="AR69" s="309"/>
      <c r="AS69" s="309"/>
      <c r="AT69" s="309"/>
      <c r="AU69" s="309"/>
      <c r="AV69" s="309"/>
      <c r="AW69" s="309"/>
      <c r="AX69" s="309"/>
      <c r="AY69" s="309"/>
      <c r="AZ69" s="309"/>
      <c r="BA69" s="309"/>
      <c r="BB69" s="309"/>
      <c r="BC69" s="309"/>
      <c r="BD69" s="309"/>
      <c r="BE69" s="309"/>
      <c r="BF69" s="309"/>
      <c r="BG69" s="309"/>
      <c r="BH69" s="309"/>
      <c r="BI69" s="309"/>
      <c r="BJ69" s="310"/>
      <c r="BK69" s="84"/>
      <c r="BL69" s="302"/>
      <c r="BM69" s="303"/>
      <c r="BN69" s="303"/>
      <c r="BO69" s="303"/>
      <c r="BP69" s="303"/>
      <c r="BQ69" s="303"/>
      <c r="BR69" s="303"/>
      <c r="BS69" s="303"/>
      <c r="BT69" s="303"/>
      <c r="BU69" s="303"/>
      <c r="BV69" s="303"/>
      <c r="BW69" s="303"/>
      <c r="BX69" s="303"/>
      <c r="BY69" s="303"/>
      <c r="BZ69" s="303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4"/>
      <c r="CU69" s="84"/>
      <c r="CV69" s="213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212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</row>
    <row r="70" spans="1:212" s="74" customFormat="1" ht="10.9" customHeight="1" x14ac:dyDescent="0.35">
      <c r="A70" s="97"/>
      <c r="B70" s="328"/>
      <c r="C70" s="278"/>
      <c r="D70" s="84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AC70" s="84"/>
      <c r="AD70" s="308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10"/>
      <c r="BK70" s="84"/>
      <c r="BL70" s="302"/>
      <c r="BM70" s="303"/>
      <c r="BN70" s="303"/>
      <c r="BO70" s="303"/>
      <c r="BP70" s="303"/>
      <c r="BQ70" s="303"/>
      <c r="BR70" s="303"/>
      <c r="BS70" s="303"/>
      <c r="BT70" s="303"/>
      <c r="BU70" s="303"/>
      <c r="BV70" s="303"/>
      <c r="BW70" s="303"/>
      <c r="BX70" s="303"/>
      <c r="BY70" s="303"/>
      <c r="BZ70" s="303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4"/>
      <c r="CU70" s="84"/>
      <c r="CV70" s="213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212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</row>
    <row r="71" spans="1:212" s="74" customFormat="1" ht="10.9" customHeight="1" x14ac:dyDescent="0.3">
      <c r="A71" s="97"/>
      <c r="B71" s="329"/>
      <c r="C71" s="279"/>
      <c r="D71" s="84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AC71" s="84"/>
      <c r="AD71" s="308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09"/>
      <c r="AQ71" s="309"/>
      <c r="AR71" s="309"/>
      <c r="AS71" s="309"/>
      <c r="AT71" s="309"/>
      <c r="AU71" s="309"/>
      <c r="AV71" s="309"/>
      <c r="AW71" s="309"/>
      <c r="AX71" s="309"/>
      <c r="AY71" s="309"/>
      <c r="AZ71" s="309"/>
      <c r="BA71" s="309"/>
      <c r="BB71" s="309"/>
      <c r="BC71" s="309"/>
      <c r="BD71" s="309"/>
      <c r="BE71" s="309"/>
      <c r="BF71" s="309"/>
      <c r="BG71" s="309"/>
      <c r="BH71" s="309"/>
      <c r="BI71" s="309"/>
      <c r="BJ71" s="310"/>
      <c r="BK71" s="84"/>
      <c r="BL71" s="302"/>
      <c r="BM71" s="303"/>
      <c r="BN71" s="303"/>
      <c r="BO71" s="303"/>
      <c r="BP71" s="303"/>
      <c r="BQ71" s="303"/>
      <c r="BR71" s="303"/>
      <c r="BS71" s="303"/>
      <c r="BT71" s="303"/>
      <c r="BU71" s="303"/>
      <c r="BV71" s="303"/>
      <c r="BW71" s="303"/>
      <c r="BX71" s="303"/>
      <c r="BY71" s="303"/>
      <c r="BZ71" s="303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4"/>
      <c r="CU71" s="84"/>
      <c r="CV71" s="21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212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</row>
    <row r="72" spans="1:212" s="74" customFormat="1" ht="10.9" customHeight="1" x14ac:dyDescent="0.5">
      <c r="A72" s="97"/>
      <c r="B72" s="329"/>
      <c r="C72" s="279"/>
      <c r="D72" s="70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AC72" s="84"/>
      <c r="AD72" s="308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09"/>
      <c r="AQ72" s="309"/>
      <c r="AR72" s="309"/>
      <c r="AS72" s="309"/>
      <c r="AT72" s="309"/>
      <c r="AU72" s="309"/>
      <c r="AV72" s="309"/>
      <c r="AW72" s="309"/>
      <c r="AX72" s="309"/>
      <c r="AY72" s="309"/>
      <c r="AZ72" s="309"/>
      <c r="BA72" s="309"/>
      <c r="BB72" s="309"/>
      <c r="BC72" s="309"/>
      <c r="BD72" s="309"/>
      <c r="BE72" s="309"/>
      <c r="BF72" s="309"/>
      <c r="BG72" s="309"/>
      <c r="BH72" s="309"/>
      <c r="BI72" s="309"/>
      <c r="BJ72" s="310"/>
      <c r="BK72" s="84"/>
      <c r="BL72" s="302"/>
      <c r="BM72" s="303"/>
      <c r="BN72" s="303"/>
      <c r="BO72" s="303"/>
      <c r="BP72" s="303"/>
      <c r="BQ72" s="303"/>
      <c r="BR72" s="303"/>
      <c r="BS72" s="303"/>
      <c r="BT72" s="303"/>
      <c r="BU72" s="303"/>
      <c r="BV72" s="303"/>
      <c r="BW72" s="303"/>
      <c r="BX72" s="303"/>
      <c r="BY72" s="303"/>
      <c r="BZ72" s="303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4"/>
      <c r="CU72" s="84"/>
      <c r="CV72" s="214" t="s">
        <v>129</v>
      </c>
      <c r="CW72" s="215"/>
      <c r="CX72" s="216" t="s">
        <v>133</v>
      </c>
      <c r="CY72" s="215"/>
      <c r="CZ72" s="216" t="s">
        <v>137</v>
      </c>
      <c r="DA72" s="101"/>
      <c r="DB72" s="101"/>
      <c r="DC72" s="101"/>
      <c r="DD72" s="101"/>
      <c r="DE72" s="101"/>
      <c r="DF72" s="101"/>
      <c r="DG72" s="212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</row>
    <row r="73" spans="1:212" s="74" customFormat="1" ht="10.9" customHeight="1" x14ac:dyDescent="0.4">
      <c r="A73" s="97"/>
      <c r="B73" s="329"/>
      <c r="C73" s="250"/>
      <c r="D73" s="252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AC73" s="84"/>
      <c r="AD73" s="308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  <c r="BB73" s="309"/>
      <c r="BC73" s="309"/>
      <c r="BD73" s="309"/>
      <c r="BE73" s="309"/>
      <c r="BF73" s="309"/>
      <c r="BG73" s="309"/>
      <c r="BH73" s="309"/>
      <c r="BI73" s="309"/>
      <c r="BJ73" s="310"/>
      <c r="BK73" s="84"/>
      <c r="BL73" s="302"/>
      <c r="BM73" s="303"/>
      <c r="BN73" s="303"/>
      <c r="BO73" s="303"/>
      <c r="BP73" s="303"/>
      <c r="BQ73" s="303"/>
      <c r="BR73" s="303"/>
      <c r="BS73" s="303"/>
      <c r="BT73" s="303"/>
      <c r="BU73" s="303"/>
      <c r="BV73" s="303"/>
      <c r="BW73" s="303"/>
      <c r="BX73" s="303"/>
      <c r="BY73" s="303"/>
      <c r="BZ73" s="303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4"/>
      <c r="CU73" s="84"/>
      <c r="CV73" s="214" t="s">
        <v>130</v>
      </c>
      <c r="CW73" s="215"/>
      <c r="CX73" s="216" t="s">
        <v>134</v>
      </c>
      <c r="CY73" s="215"/>
      <c r="CZ73" s="216" t="s">
        <v>138</v>
      </c>
      <c r="DA73" s="101"/>
      <c r="DB73" s="101"/>
      <c r="DC73" s="101"/>
      <c r="DD73" s="101"/>
      <c r="DE73" s="101"/>
      <c r="DF73" s="101"/>
      <c r="DG73" s="212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</row>
    <row r="74" spans="1:212" s="74" customFormat="1" ht="10.9" customHeight="1" x14ac:dyDescent="0.3">
      <c r="A74" s="97"/>
      <c r="B74" s="248"/>
      <c r="C74" s="280"/>
      <c r="D74" s="84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AC74" s="84"/>
      <c r="AD74" s="308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09"/>
      <c r="AQ74" s="309"/>
      <c r="AR74" s="309"/>
      <c r="AS74" s="309"/>
      <c r="AT74" s="309"/>
      <c r="AU74" s="309"/>
      <c r="AV74" s="309"/>
      <c r="AW74" s="309"/>
      <c r="AX74" s="309"/>
      <c r="AY74" s="309"/>
      <c r="AZ74" s="309"/>
      <c r="BA74" s="309"/>
      <c r="BB74" s="309"/>
      <c r="BC74" s="309"/>
      <c r="BD74" s="309"/>
      <c r="BE74" s="309"/>
      <c r="BF74" s="309"/>
      <c r="BG74" s="309"/>
      <c r="BH74" s="309"/>
      <c r="BI74" s="309"/>
      <c r="BJ74" s="310"/>
      <c r="BK74" s="84"/>
      <c r="BL74" s="302"/>
      <c r="BM74" s="303"/>
      <c r="BN74" s="303"/>
      <c r="BO74" s="303"/>
      <c r="BP74" s="303"/>
      <c r="BQ74" s="303"/>
      <c r="BR74" s="303"/>
      <c r="BS74" s="303"/>
      <c r="BT74" s="303"/>
      <c r="BU74" s="303"/>
      <c r="BV74" s="303"/>
      <c r="BW74" s="303"/>
      <c r="BX74" s="303"/>
      <c r="BY74" s="303"/>
      <c r="BZ74" s="303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4"/>
      <c r="CU74" s="84"/>
      <c r="CV74" s="214" t="s">
        <v>131</v>
      </c>
      <c r="CW74" s="215"/>
      <c r="CX74" s="216" t="s">
        <v>135</v>
      </c>
      <c r="CY74" s="215"/>
      <c r="CZ74" s="216" t="s">
        <v>139</v>
      </c>
      <c r="DA74" s="101"/>
      <c r="DB74" s="101"/>
      <c r="DC74" s="101"/>
      <c r="DD74" s="101"/>
      <c r="DE74" s="101"/>
      <c r="DF74" s="101"/>
      <c r="DG74" s="212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</row>
    <row r="75" spans="1:212" s="74" customFormat="1" x14ac:dyDescent="0.3">
      <c r="A75" s="97"/>
      <c r="B75" s="330"/>
      <c r="C75" s="281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AC75" s="84"/>
      <c r="AD75" s="308"/>
      <c r="AE75" s="309"/>
      <c r="AF75" s="309"/>
      <c r="AG75" s="309"/>
      <c r="AH75" s="309"/>
      <c r="AI75" s="309"/>
      <c r="AJ75" s="309"/>
      <c r="AK75" s="309"/>
      <c r="AL75" s="309"/>
      <c r="AM75" s="309"/>
      <c r="AN75" s="309"/>
      <c r="AO75" s="309"/>
      <c r="AP75" s="309"/>
      <c r="AQ75" s="309"/>
      <c r="AR75" s="309"/>
      <c r="AS75" s="309"/>
      <c r="AT75" s="309"/>
      <c r="AU75" s="309"/>
      <c r="AV75" s="309"/>
      <c r="AW75" s="309"/>
      <c r="AX75" s="309"/>
      <c r="AY75" s="309"/>
      <c r="AZ75" s="309"/>
      <c r="BA75" s="309"/>
      <c r="BB75" s="309"/>
      <c r="BC75" s="309"/>
      <c r="BD75" s="309"/>
      <c r="BE75" s="309"/>
      <c r="BF75" s="309"/>
      <c r="BG75" s="309"/>
      <c r="BH75" s="309"/>
      <c r="BI75" s="309"/>
      <c r="BJ75" s="310"/>
      <c r="BK75" s="84"/>
      <c r="BL75" s="302"/>
      <c r="BM75" s="303"/>
      <c r="BN75" s="303"/>
      <c r="BO75" s="303"/>
      <c r="BP75" s="303"/>
      <c r="BQ75" s="303"/>
      <c r="BR75" s="303"/>
      <c r="BS75" s="303"/>
      <c r="BT75" s="303"/>
      <c r="BU75" s="303"/>
      <c r="BV75" s="303"/>
      <c r="BW75" s="303"/>
      <c r="BX75" s="303"/>
      <c r="BY75" s="303"/>
      <c r="BZ75" s="303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4"/>
      <c r="CU75" s="84"/>
      <c r="CV75" s="214" t="s">
        <v>132</v>
      </c>
      <c r="CW75" s="215"/>
      <c r="CX75" s="216" t="s">
        <v>136</v>
      </c>
      <c r="CY75" s="215"/>
      <c r="CZ75" s="215"/>
      <c r="DA75" s="101"/>
      <c r="DB75" s="101"/>
      <c r="DC75" s="101"/>
      <c r="DD75" s="101"/>
      <c r="DE75" s="101"/>
      <c r="DF75" s="101"/>
      <c r="DG75" s="212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</row>
    <row r="76" spans="1:212" s="74" customFormat="1" ht="28.5" x14ac:dyDescent="0.85">
      <c r="A76" s="97"/>
      <c r="B76" s="330"/>
      <c r="C76" s="281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AC76" s="84"/>
      <c r="AD76" s="308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10"/>
      <c r="BK76" s="84"/>
      <c r="BL76" s="302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4"/>
      <c r="CU76" s="84"/>
      <c r="CV76" s="196">
        <f>C52</f>
        <v>0.14000000000000001</v>
      </c>
      <c r="CW76" s="162"/>
      <c r="CX76" s="162">
        <f>C54</f>
        <v>0.24</v>
      </c>
      <c r="CY76" s="162"/>
      <c r="CZ76" s="162">
        <f>C56</f>
        <v>0.42</v>
      </c>
      <c r="DA76" s="161"/>
      <c r="DB76" s="163" t="s">
        <v>128</v>
      </c>
      <c r="DC76" s="163"/>
      <c r="DD76" s="163"/>
      <c r="DE76" s="163"/>
      <c r="DF76" s="161"/>
      <c r="DG76" s="197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105" t="s">
        <v>88</v>
      </c>
      <c r="EN76" s="89"/>
      <c r="EO76" s="89"/>
      <c r="EP76" s="88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 t="s">
        <v>110</v>
      </c>
      <c r="GU76" s="84"/>
      <c r="GV76" s="84"/>
      <c r="GW76" s="84"/>
      <c r="GX76" s="84"/>
      <c r="GY76" s="84"/>
      <c r="GZ76" s="84"/>
      <c r="HA76" s="84"/>
      <c r="HB76" s="84"/>
      <c r="HC76" s="84"/>
      <c r="HD76" s="84"/>
    </row>
    <row r="77" spans="1:212" s="74" customFormat="1" ht="28.5" x14ac:dyDescent="0.85">
      <c r="A77" s="97"/>
      <c r="B77" s="330"/>
      <c r="C77" s="281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AC77" s="84"/>
      <c r="AD77" s="308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10"/>
      <c r="BK77" s="84"/>
      <c r="BL77" s="302"/>
      <c r="BM77" s="303"/>
      <c r="BN77" s="303"/>
      <c r="BO77" s="303"/>
      <c r="BP77" s="303"/>
      <c r="BQ77" s="303"/>
      <c r="BR77" s="303"/>
      <c r="BS77" s="303"/>
      <c r="BT77" s="303"/>
      <c r="BU77" s="303"/>
      <c r="BV77" s="303"/>
      <c r="BW77" s="303"/>
      <c r="BX77" s="303"/>
      <c r="BY77" s="303"/>
      <c r="BZ77" s="303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4"/>
      <c r="CU77" s="84"/>
      <c r="CV77" s="196"/>
      <c r="CW77" s="162"/>
      <c r="CX77" s="162"/>
      <c r="CY77" s="162"/>
      <c r="CZ77" s="162"/>
      <c r="DA77" s="161"/>
      <c r="DB77" s="163"/>
      <c r="DC77" s="163"/>
      <c r="DD77" s="163"/>
      <c r="DE77" s="163"/>
      <c r="DF77" s="161"/>
      <c r="DG77" s="197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105"/>
      <c r="EN77" s="89"/>
      <c r="EO77" s="89"/>
      <c r="EP77" s="88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</row>
    <row r="78" spans="1:212" s="74" customFormat="1" ht="94.9" customHeight="1" thickBot="1" x14ac:dyDescent="0.9">
      <c r="A78" s="97"/>
      <c r="B78" s="330"/>
      <c r="C78" s="281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AC78" s="84"/>
      <c r="AD78" s="308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10"/>
      <c r="BK78" s="84"/>
      <c r="BL78" s="302"/>
      <c r="BM78" s="303"/>
      <c r="BN78" s="303"/>
      <c r="BO78" s="303"/>
      <c r="BP78" s="303"/>
      <c r="BQ78" s="303"/>
      <c r="BR78" s="303"/>
      <c r="BS78" s="303"/>
      <c r="BT78" s="303"/>
      <c r="BU78" s="303"/>
      <c r="BV78" s="303"/>
      <c r="BW78" s="303"/>
      <c r="BX78" s="303"/>
      <c r="BY78" s="303"/>
      <c r="BZ78" s="303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4"/>
      <c r="CU78" s="147"/>
      <c r="CV78" s="302" t="s">
        <v>178</v>
      </c>
      <c r="CW78" s="303"/>
      <c r="CX78" s="303"/>
      <c r="CY78" s="303"/>
      <c r="CZ78" s="303"/>
      <c r="DA78" s="303"/>
      <c r="DB78" s="303"/>
      <c r="DC78" s="303"/>
      <c r="DD78" s="303"/>
      <c r="DE78" s="303"/>
      <c r="DF78" s="303"/>
      <c r="DG78" s="304"/>
      <c r="DH78" s="160"/>
      <c r="DI78" s="84"/>
      <c r="DJ78" s="84"/>
      <c r="DK78" s="84"/>
      <c r="DL78" s="84"/>
      <c r="DM78" s="84"/>
      <c r="DN78" s="101"/>
      <c r="DO78" s="102" t="s">
        <v>80</v>
      </c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2" t="s">
        <v>79</v>
      </c>
      <c r="EN78" s="103"/>
      <c r="EO78" s="103"/>
      <c r="EP78" s="104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2" t="s">
        <v>81</v>
      </c>
      <c r="FK78" s="101" t="s">
        <v>90</v>
      </c>
      <c r="FL78" s="101" t="s">
        <v>91</v>
      </c>
      <c r="FM78" s="101" t="s">
        <v>92</v>
      </c>
      <c r="FN78" s="101" t="s">
        <v>93</v>
      </c>
      <c r="FO78" s="101" t="s">
        <v>94</v>
      </c>
      <c r="FP78" s="101" t="s">
        <v>95</v>
      </c>
      <c r="FQ78" s="101" t="s">
        <v>96</v>
      </c>
      <c r="FR78" s="101" t="s">
        <v>97</v>
      </c>
      <c r="FS78" s="101" t="s">
        <v>98</v>
      </c>
      <c r="FT78" s="101" t="s">
        <v>99</v>
      </c>
      <c r="FU78" s="101" t="s">
        <v>100</v>
      </c>
      <c r="FV78" s="101" t="s">
        <v>101</v>
      </c>
      <c r="FW78" s="101" t="s">
        <v>102</v>
      </c>
      <c r="FX78" s="101" t="s">
        <v>103</v>
      </c>
      <c r="FY78" s="101" t="s">
        <v>104</v>
      </c>
      <c r="FZ78" s="101" t="s">
        <v>105</v>
      </c>
      <c r="GA78" s="101" t="s">
        <v>106</v>
      </c>
      <c r="GB78" s="101" t="s">
        <v>107</v>
      </c>
      <c r="GC78" s="101" t="s">
        <v>108</v>
      </c>
      <c r="GD78" s="101" t="s">
        <v>109</v>
      </c>
      <c r="GE78" s="101"/>
      <c r="GF78" s="101"/>
      <c r="GG78" s="101"/>
      <c r="GH78" s="101"/>
      <c r="GI78" s="102" t="s">
        <v>82</v>
      </c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84"/>
      <c r="GZ78" s="84"/>
      <c r="HA78" s="84"/>
      <c r="HB78" s="84"/>
      <c r="HC78" s="84"/>
      <c r="HD78" s="84"/>
    </row>
    <row r="79" spans="1:212" s="74" customFormat="1" ht="171.4" thickBot="1" x14ac:dyDescent="0.55000000000000004">
      <c r="A79" s="97"/>
      <c r="B79" s="330"/>
      <c r="C79" s="281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AB79" s="298" t="s">
        <v>201</v>
      </c>
      <c r="AC79" s="298" t="s">
        <v>200</v>
      </c>
      <c r="AD79" s="297" t="s">
        <v>113</v>
      </c>
      <c r="AE79" s="230" t="s">
        <v>73</v>
      </c>
      <c r="AF79" s="232" t="s">
        <v>0</v>
      </c>
      <c r="AG79" s="232" t="s">
        <v>112</v>
      </c>
      <c r="AH79" s="232" t="s">
        <v>114</v>
      </c>
      <c r="AI79" s="241" t="s">
        <v>17</v>
      </c>
      <c r="AJ79" s="241" t="s">
        <v>19</v>
      </c>
      <c r="AK79" s="232" t="s">
        <v>38</v>
      </c>
      <c r="AL79" s="232" t="s">
        <v>22</v>
      </c>
      <c r="AM79" s="232" t="s">
        <v>23</v>
      </c>
      <c r="AN79" s="232" t="s">
        <v>24</v>
      </c>
      <c r="AO79" s="232" t="s">
        <v>25</v>
      </c>
      <c r="AP79" s="232" t="s">
        <v>26</v>
      </c>
      <c r="AQ79" s="237" t="s">
        <v>8</v>
      </c>
      <c r="AR79" s="237" t="s">
        <v>9</v>
      </c>
      <c r="AS79" s="232" t="s">
        <v>180</v>
      </c>
      <c r="AT79" s="232" t="s">
        <v>21</v>
      </c>
      <c r="AU79" s="232" t="s">
        <v>42</v>
      </c>
      <c r="AV79" s="232" t="s">
        <v>38</v>
      </c>
      <c r="AW79" s="232" t="s">
        <v>126</v>
      </c>
      <c r="AX79" s="232" t="s">
        <v>46</v>
      </c>
      <c r="AY79" s="238" t="s">
        <v>74</v>
      </c>
      <c r="AZ79" s="236" t="s">
        <v>75</v>
      </c>
      <c r="BA79" s="231" t="s">
        <v>164</v>
      </c>
      <c r="BB79" s="236" t="s">
        <v>151</v>
      </c>
      <c r="BC79" s="157" t="s">
        <v>127</v>
      </c>
      <c r="BD79" s="238" t="s">
        <v>149</v>
      </c>
      <c r="BE79" s="238" t="s">
        <v>147</v>
      </c>
      <c r="BF79" s="239" t="s">
        <v>148</v>
      </c>
      <c r="BG79" s="235" t="s">
        <v>76</v>
      </c>
      <c r="BH79" s="235" t="s">
        <v>77</v>
      </c>
      <c r="BI79" s="243" t="s">
        <v>184</v>
      </c>
      <c r="BJ79" s="240" t="s">
        <v>150</v>
      </c>
      <c r="BK79" s="81"/>
      <c r="BL79" s="205" t="s">
        <v>168</v>
      </c>
      <c r="BM79" s="195" t="s">
        <v>170</v>
      </c>
      <c r="BN79" s="194" t="s">
        <v>166</v>
      </c>
      <c r="BO79" s="194" t="s">
        <v>165</v>
      </c>
      <c r="BP79" s="194" t="s">
        <v>171</v>
      </c>
      <c r="BQ79" s="194" t="s">
        <v>167</v>
      </c>
      <c r="BR79" s="194" t="s">
        <v>172</v>
      </c>
      <c r="BS79" s="194" t="s">
        <v>173</v>
      </c>
      <c r="BT79" s="194" t="s">
        <v>176</v>
      </c>
      <c r="BU79" s="194" t="s">
        <v>169</v>
      </c>
      <c r="BV79" s="194" t="s">
        <v>174</v>
      </c>
      <c r="BW79" s="194" t="s">
        <v>175</v>
      </c>
      <c r="BX79" s="194" t="s">
        <v>185</v>
      </c>
      <c r="BY79" s="194" t="s">
        <v>177</v>
      </c>
      <c r="BZ79" s="137" t="s">
        <v>115</v>
      </c>
      <c r="CA79" s="131" t="s">
        <v>182</v>
      </c>
      <c r="CB79" s="131" t="s">
        <v>152</v>
      </c>
      <c r="CC79" s="131" t="s">
        <v>153</v>
      </c>
      <c r="CD79" s="131" t="s">
        <v>154</v>
      </c>
      <c r="CE79" s="131" t="s">
        <v>146</v>
      </c>
      <c r="CF79" s="131" t="s">
        <v>145</v>
      </c>
      <c r="CG79" s="171" t="s">
        <v>183</v>
      </c>
      <c r="CH79" s="138" t="s">
        <v>144</v>
      </c>
      <c r="CI79" s="144" t="s">
        <v>116</v>
      </c>
      <c r="CJ79" s="133" t="s">
        <v>83</v>
      </c>
      <c r="CK79" s="144" t="s">
        <v>118</v>
      </c>
      <c r="CL79" s="133" t="s">
        <v>83</v>
      </c>
      <c r="CM79" s="144" t="s">
        <v>117</v>
      </c>
      <c r="CN79" s="133" t="s">
        <v>83</v>
      </c>
      <c r="CO79" s="170" t="s">
        <v>181</v>
      </c>
      <c r="CP79" s="141" t="s">
        <v>124</v>
      </c>
      <c r="CQ79" s="135" t="s">
        <v>125</v>
      </c>
      <c r="CR79" s="135" t="s">
        <v>141</v>
      </c>
      <c r="CS79" s="170" t="s">
        <v>142</v>
      </c>
      <c r="CT79" s="199" t="s">
        <v>143</v>
      </c>
      <c r="CU79" s="148"/>
      <c r="CV79" s="198" t="s">
        <v>116</v>
      </c>
      <c r="CW79" s="167" t="s">
        <v>83</v>
      </c>
      <c r="CX79" s="166" t="s">
        <v>118</v>
      </c>
      <c r="CY79" s="167" t="s">
        <v>83</v>
      </c>
      <c r="CZ79" s="166" t="s">
        <v>117</v>
      </c>
      <c r="DA79" s="168" t="s">
        <v>83</v>
      </c>
      <c r="DB79" s="172" t="s">
        <v>140</v>
      </c>
      <c r="DC79" s="141" t="s">
        <v>124</v>
      </c>
      <c r="DD79" s="135" t="s">
        <v>125</v>
      </c>
      <c r="DE79" s="135" t="s">
        <v>141</v>
      </c>
      <c r="DF79" s="170" t="s">
        <v>142</v>
      </c>
      <c r="DG79" s="199" t="s">
        <v>143</v>
      </c>
      <c r="DH79" s="158"/>
      <c r="DI79" s="81"/>
      <c r="DJ79" s="81"/>
      <c r="DK79" s="127"/>
      <c r="DL79" s="127"/>
      <c r="DM79" s="127"/>
      <c r="DN79" s="81"/>
      <c r="DO79" s="18" t="s">
        <v>0</v>
      </c>
      <c r="DP79" s="18" t="s">
        <v>18</v>
      </c>
      <c r="DQ79" s="18" t="s">
        <v>20</v>
      </c>
      <c r="DR79" s="18" t="s">
        <v>17</v>
      </c>
      <c r="DS79" s="18" t="s">
        <v>19</v>
      </c>
      <c r="DT79" s="18" t="s">
        <v>38</v>
      </c>
      <c r="DU79" s="18" t="s">
        <v>22</v>
      </c>
      <c r="DV79" s="18" t="s">
        <v>23</v>
      </c>
      <c r="DW79" s="18" t="s">
        <v>24</v>
      </c>
      <c r="DX79" s="1" t="s">
        <v>25</v>
      </c>
      <c r="DY79" s="1" t="s">
        <v>26</v>
      </c>
      <c r="DZ79" s="1" t="s">
        <v>8</v>
      </c>
      <c r="EA79" s="18" t="s">
        <v>9</v>
      </c>
      <c r="EB79" s="18" t="s">
        <v>1</v>
      </c>
      <c r="EC79" s="18" t="s">
        <v>21</v>
      </c>
      <c r="ED79" s="18" t="s">
        <v>42</v>
      </c>
      <c r="EE79" s="18" t="s">
        <v>38</v>
      </c>
      <c r="EF79" s="18" t="s">
        <v>45</v>
      </c>
      <c r="EG79" s="18" t="s">
        <v>46</v>
      </c>
      <c r="EH79" s="56"/>
      <c r="EI79" s="56"/>
      <c r="EJ79" s="13"/>
      <c r="EK79" s="24"/>
      <c r="EL79" s="24"/>
      <c r="EM79" s="173" t="s">
        <v>0</v>
      </c>
      <c r="EN79" s="174" t="s">
        <v>18</v>
      </c>
      <c r="EO79" s="173" t="s">
        <v>20</v>
      </c>
      <c r="EP79" s="173" t="s">
        <v>17</v>
      </c>
      <c r="EQ79" s="173" t="s">
        <v>19</v>
      </c>
      <c r="ER79" s="173" t="s">
        <v>6</v>
      </c>
      <c r="ES79" s="173" t="s">
        <v>22</v>
      </c>
      <c r="ET79" s="173" t="s">
        <v>4</v>
      </c>
      <c r="EU79" s="179" t="s">
        <v>7</v>
      </c>
      <c r="EV79" s="173" t="s">
        <v>37</v>
      </c>
      <c r="EW79" s="173" t="s">
        <v>3</v>
      </c>
      <c r="EX79" s="20" t="s">
        <v>15</v>
      </c>
      <c r="EY79" s="18"/>
      <c r="EZ79"/>
      <c r="FA79"/>
      <c r="FB79"/>
      <c r="FC79" s="81"/>
      <c r="FD79" s="81"/>
      <c r="FE79" s="81"/>
      <c r="FF79" s="81"/>
      <c r="FG79" s="81"/>
      <c r="FH79" s="81"/>
      <c r="FI79" s="81"/>
      <c r="FJ79" s="18" t="s">
        <v>0</v>
      </c>
      <c r="FK79" s="18" t="s">
        <v>18</v>
      </c>
      <c r="FL79" s="18" t="s">
        <v>20</v>
      </c>
      <c r="FM79" s="18" t="s">
        <v>17</v>
      </c>
      <c r="FN79" s="18" t="s">
        <v>19</v>
      </c>
      <c r="FO79" s="18" t="s">
        <v>38</v>
      </c>
      <c r="FP79" s="18" t="s">
        <v>22</v>
      </c>
      <c r="FQ79" s="18" t="s">
        <v>23</v>
      </c>
      <c r="FR79" s="18" t="s">
        <v>24</v>
      </c>
      <c r="FS79" s="1" t="s">
        <v>25</v>
      </c>
      <c r="FT79" s="1" t="s">
        <v>26</v>
      </c>
      <c r="FU79" s="1" t="s">
        <v>8</v>
      </c>
      <c r="FV79" s="18" t="s">
        <v>9</v>
      </c>
      <c r="FW79" s="18" t="s">
        <v>1</v>
      </c>
      <c r="FX79" s="18" t="s">
        <v>21</v>
      </c>
      <c r="FY79" s="18" t="s">
        <v>40</v>
      </c>
      <c r="FZ79" s="18" t="s">
        <v>38</v>
      </c>
      <c r="GA79" s="18" t="s">
        <v>49</v>
      </c>
      <c r="GB79" s="18" t="s">
        <v>52</v>
      </c>
      <c r="GC79" s="56" t="s">
        <v>53</v>
      </c>
      <c r="GD79" s="56" t="s">
        <v>54</v>
      </c>
      <c r="GE79"/>
      <c r="GF79"/>
      <c r="GG79" s="81"/>
      <c r="GH79" s="81"/>
      <c r="GI79" s="19" t="s">
        <v>0</v>
      </c>
      <c r="GJ79" s="21" t="s">
        <v>18</v>
      </c>
      <c r="GK79" s="19" t="s">
        <v>20</v>
      </c>
      <c r="GL79" s="19" t="s">
        <v>17</v>
      </c>
      <c r="GM79" s="19" t="s">
        <v>19</v>
      </c>
      <c r="GN79" s="19" t="s">
        <v>6</v>
      </c>
      <c r="GO79" s="19" t="s">
        <v>22</v>
      </c>
      <c r="GP79" s="19" t="s">
        <v>4</v>
      </c>
      <c r="GQ79" s="19" t="s">
        <v>7</v>
      </c>
      <c r="GR79" s="19" t="s">
        <v>37</v>
      </c>
      <c r="GS79" s="19" t="s">
        <v>3</v>
      </c>
      <c r="GT79" s="22" t="s">
        <v>15</v>
      </c>
      <c r="GU79"/>
      <c r="GV79"/>
      <c r="GW79"/>
      <c r="GX79"/>
      <c r="GY79" s="81"/>
      <c r="GZ79" s="81"/>
      <c r="HA79" s="81"/>
      <c r="HB79" s="81"/>
      <c r="HC79" s="81"/>
      <c r="HD79" s="81"/>
    </row>
    <row r="80" spans="1:212" s="74" customFormat="1" ht="16.149999999999999" thickBot="1" x14ac:dyDescent="0.55000000000000004">
      <c r="A80" s="75"/>
      <c r="B80" s="331"/>
      <c r="C80" s="282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AB80" s="117" t="str">
        <f>IF(AND(BJ80&lt;0),AE80,"")</f>
        <v/>
      </c>
      <c r="AC80" s="117" t="str">
        <f>IF(AND(BJ80&lt;0),AF80,"")</f>
        <v/>
      </c>
      <c r="AD80" s="299">
        <f>IF($C$20="NEIN",$C$21,IF($C$22="JA",'HISTORISCHE RENDITEN'!E4,'HISTORISCHE RENDITEN'!D4))</f>
        <v>0.1268</v>
      </c>
      <c r="AE80" s="129">
        <f>C9</f>
        <v>28</v>
      </c>
      <c r="AF80" s="120">
        <f>C10</f>
        <v>2021</v>
      </c>
      <c r="AG80" s="122">
        <f t="shared" ref="AG80:AG111" si="0">IF(AF80&lt;$C$11,AY80-AZ80,0)</f>
        <v>24000</v>
      </c>
      <c r="AH80" s="123">
        <f>AJ80+AI80</f>
        <v>24000</v>
      </c>
      <c r="AI80" s="295">
        <f>$C$17</f>
        <v>0</v>
      </c>
      <c r="AJ80" s="123">
        <f>IF($DG$62&lt;=0,0,AG80)</f>
        <v>24000</v>
      </c>
      <c r="AK80" s="124">
        <f>(AI80+AJ80)*(1+$AD$80)</f>
        <v>27043.200000000001</v>
      </c>
      <c r="AL80" s="122">
        <f t="shared" ref="AL80:AL111" si="1">AK80-(AJ80+AI80)</f>
        <v>3043.2000000000007</v>
      </c>
      <c r="AM80" s="122">
        <f>IF($C$25="Ausschütter",0,IF(AL80&gt;=0,(AI80+AJ80)*$C$48*0.7))</f>
        <v>11.76</v>
      </c>
      <c r="AN80" s="122">
        <f t="shared" ref="AN80:AN111" si="2">IF($C$25="THESAURIERER",0,AK80*$C$26)</f>
        <v>0</v>
      </c>
      <c r="AO80" s="122">
        <f>IF(AL80&gt;=0,MIN(AL80,AM80),0)</f>
        <v>11.76</v>
      </c>
      <c r="AP80" s="122">
        <f>AO80</f>
        <v>11.76</v>
      </c>
      <c r="AQ80" s="122">
        <f>IF($C$25="AUSSCHÜTTER",0,IF(AO80*$C$46*$C$49&lt;=$C$47,0,AO80*$C$46*$C$49))</f>
        <v>0</v>
      </c>
      <c r="AR80" s="122">
        <f>IF(AN80*$C$49&gt;$C$47,(AN80*$C$49-$C$47)*$C$46,0)</f>
        <v>0</v>
      </c>
      <c r="AS80" s="122">
        <f>AN80-AR80-AQ80</f>
        <v>0</v>
      </c>
      <c r="AT80" s="122">
        <f>IF(AF80&lt;=$C$13+$C$10,ABS(AG80))</f>
        <v>24000</v>
      </c>
      <c r="AU80" s="122">
        <f>SUM(AR80+AQ80)</f>
        <v>0</v>
      </c>
      <c r="AV80" s="122">
        <f>AK80</f>
        <v>27043.200000000001</v>
      </c>
      <c r="AW80" s="122">
        <v>0</v>
      </c>
      <c r="AX80" s="130">
        <f>IF($C$25="THESAURIERER",0,AW80)</f>
        <v>0</v>
      </c>
      <c r="AY80" s="82">
        <f>IF(AF80&lt;$C$11,$C$15*(1+$C$19)^(AF80-$C$10),0)</f>
        <v>42000</v>
      </c>
      <c r="AZ80" s="82">
        <f>$C$14*(1+$C$37)^(AF80-$C$10)</f>
        <v>18000</v>
      </c>
      <c r="BA80" s="165">
        <f>IF(AF80&lt;$C$11,0,MAX($C$38*AI80,AZ80))</f>
        <v>0</v>
      </c>
      <c r="BB80" s="82">
        <f>IF(AF80&lt;$C$11,0,MAX($C$38*AI80,AZ80))</f>
        <v>0</v>
      </c>
      <c r="BC80" s="136">
        <f>IF($C$39="JA",CT80,DG80)</f>
        <v>0</v>
      </c>
      <c r="BD80" s="82">
        <f t="shared" ref="BD80:BD111" si="3">IF($C$27="JA",0,AS80-AW80)</f>
        <v>0</v>
      </c>
      <c r="BE80" s="82">
        <f>IF(AF80&lt;($C$8+$C$30),0,$C$29*12*(1-$C$31))</f>
        <v>0</v>
      </c>
      <c r="BF80" s="82">
        <f>IF(AF80&lt;($C$8+$C$34),0,$C$33*12*(1-$C$35))</f>
        <v>0</v>
      </c>
      <c r="BG80" s="82">
        <f>IF(AF80&lt;$C$11,0,IF(AI80&lt;0,$C$42*(1+$C$44)^(AF80-$C$10),IF(((AL80+BE80+BF80)*$C$41)&lt;$C$42*(1+$C$44)^(AF80-$C$10),$C$42*(1+$C$44)^(AF80-$C$10),IF(((AL80+BE80+BF80)*$C$41)&lt;$C$43*(1+$C$44)^(AF80-$C$10),(AL80+BE80+BF80)*$C$41,IF(((AL80+BE80+BF80+BB80)*$C$41)&lt;$C$43*(1+$C$44)^(AF80-$C$10),((AL80+BE80+BF80+BB80)*$C$41),$C$43*(1+$C$44)^(AF80-$C$10))))))</f>
        <v>0</v>
      </c>
      <c r="BH80" s="82">
        <f>IF(AF80&lt;$C$11,AZ80+BG80+BC80+AR80+AQ80+BD80,BG80+AQ80+AR80+BC80+(BB80-BD80)+BD80)</f>
        <v>18000</v>
      </c>
      <c r="BI80" s="242">
        <f>AI80+AY80+BE80+BF80+AL80</f>
        <v>45043.199999999997</v>
      </c>
      <c r="BJ80" s="217">
        <f>BI80-BH80</f>
        <v>27043.199999999997</v>
      </c>
      <c r="BK80" s="218"/>
      <c r="BL80" s="219">
        <f t="shared" ref="BL80:BL111" si="4">IF(AF80&lt;$C$11,0,AF80-$C$11+1)</f>
        <v>0</v>
      </c>
      <c r="BM80" s="220">
        <f t="shared" ref="BM80:BM111" si="5">AE80-$C$9+1</f>
        <v>1</v>
      </c>
      <c r="BN80" s="220">
        <f t="shared" ref="BN80:BN101" si="6">IF(AF80&lt;$C$11,$C$10-AF80+$C$13,0)</f>
        <v>17</v>
      </c>
      <c r="BO80" s="221">
        <f t="shared" ref="BO80:BO111" si="7">AG80*(1+AVERAGE($AD$80:$AD$156))^(BN80)</f>
        <v>99635.794340387787</v>
      </c>
      <c r="BP80" s="221">
        <f t="shared" ref="BP80:BP111" si="8">AG80</f>
        <v>24000</v>
      </c>
      <c r="BQ80" s="222">
        <f t="shared" ref="BQ80:BQ143" si="9">IF(BP80&lt;=0,0,BO80/BP80-1)</f>
        <v>3.1514914308494912</v>
      </c>
      <c r="BR80" s="223">
        <f>IF(BM80&lt;$C$11-$C$10+1,0,IF(BL80&lt;=$C$13,VLOOKUP(BL80,$BN$80:$BQ$156,2,FALSE)-BS80,0))</f>
        <v>0</v>
      </c>
      <c r="BS80" s="223">
        <f>IF(BM80&lt;$C$11-$C$10+1,0,IF(BL80&lt;=$C$13,VLOOKUP(BL80,$BN$80:$BQ$156,3,FALSE),0))</f>
        <v>0</v>
      </c>
      <c r="BT80" s="222">
        <f>IF(BM80&lt;$C$11-$C$10+1,0,IF(BL80&lt;=$C$13,VLOOKUP(BL80,$BN$80:$BQ$156,4,FALSE),0))</f>
        <v>0</v>
      </c>
      <c r="BU80" s="223">
        <v>0</v>
      </c>
      <c r="BV80" s="223">
        <v>0</v>
      </c>
      <c r="BW80" s="223">
        <v>0</v>
      </c>
      <c r="BX80" s="223">
        <f>IF(AND(BS80&lt;=0,BN80=0),MIN((MAX($BZ$80:$BZ$156)-SUM($BX79:BX$80)),CA80),IF(BS80&lt;CA80,BS80,CA80))</f>
        <v>0</v>
      </c>
      <c r="BY80" s="222">
        <f>IF(BN80&gt;0,0,IF(AND(BN80=0,BT80&lt;=0),100%,((BW79*(AVERAGE($BT79:BT$80))+(BR80*BT80))/(BR80+BW79+BS80+BV79))))</f>
        <v>0</v>
      </c>
      <c r="BZ80" s="139">
        <f>AG80</f>
        <v>24000</v>
      </c>
      <c r="CA80" s="122">
        <f t="shared" ref="CA80:CA111" si="10">IF(BB80-BD80&lt;=0,0,BB80-BD80)</f>
        <v>0</v>
      </c>
      <c r="CB80" s="181">
        <f>BY80</f>
        <v>0</v>
      </c>
      <c r="CC80" s="122">
        <f>CA80</f>
        <v>0</v>
      </c>
      <c r="CD80" s="182">
        <f t="shared" ref="CD80:CD95" si="11">BX80</f>
        <v>0</v>
      </c>
      <c r="CE80" s="122">
        <f>CD80</f>
        <v>0</v>
      </c>
      <c r="CF80" s="122">
        <f>BZ80-CE80</f>
        <v>24000</v>
      </c>
      <c r="CG80" s="122" t="str">
        <f t="shared" ref="CG80:CG111" si="12">IF(CC80&lt;=0,"",IF(CF80&lt;=0,"","JA"))</f>
        <v/>
      </c>
      <c r="CH80" s="140">
        <f t="shared" ref="CH80:CH111" si="13">IF(CB80&lt;=0,0,IF(AND(CB80&gt;0,CB80&lt;=1,CG80="JA")=TRUE,CB80,100%))</f>
        <v>0</v>
      </c>
      <c r="CI80" s="139">
        <f>$C$51</f>
        <v>9984</v>
      </c>
      <c r="CJ80" s="117">
        <f>CI80*$C$57</f>
        <v>0</v>
      </c>
      <c r="CK80" s="139">
        <f>$C$53</f>
        <v>14926</v>
      </c>
      <c r="CL80" s="145">
        <f>CK80*$C$57</f>
        <v>0</v>
      </c>
      <c r="CM80" s="139">
        <f>$C$55</f>
        <v>58596</v>
      </c>
      <c r="CN80" s="145">
        <f>CM80*$C$57</f>
        <v>0</v>
      </c>
      <c r="CO80" s="132">
        <f>CA80*CH80</f>
        <v>0</v>
      </c>
      <c r="CP80" s="140">
        <f t="shared" ref="CP80:CP111" si="14">IF(CO80&lt;=0,0,IF(CO80&gt;CM80,$CM$66,IF(AND(CO80&gt;=CI80,CO80&lt;=CK80),($CK$66-$CI$66)/(CK80-CI80)*(CO80-CI80)+$CI$66,IF(AND(CO80&gt;=CK80,CO80&lt;=CM80),($CM$66-$CK$66)/(CM80-CK80)*(CO80-CK80)+$CK$66,0))))</f>
        <v>0</v>
      </c>
      <c r="CQ80" s="121" t="str">
        <f>IF($C$50="NEIN","NEIN",IF(CS80&lt;CR80,"JA","NEIN"))</f>
        <v>NEIN</v>
      </c>
      <c r="CR80" s="121">
        <f>CO80*$C$46</f>
        <v>0</v>
      </c>
      <c r="CS80" s="121">
        <f t="shared" ref="CS80:CS111" si="15">IF(CO80&lt;=0,0,IF(CO80&gt;CM80,$CM$66*CO80-9267.53,IF(AND(CO80&gt;=CI80,CO80&lt;=CK80),(1008.7*((CO80-CI80)/10000)+1400)*((CO80-CI80)/10000),IF(AND(CO80&gt;=CK80,CO80&lt;=CM80),(206.43*((CO80-CK80)/10000)+2397)*((CO80-CK80)/10000)+938.24,0))))</f>
        <v>0</v>
      </c>
      <c r="CT80" s="201">
        <f>IF($C$50="NEIN",CR80,IF(CQ80="NEIN",CR80,CS80))</f>
        <v>0</v>
      </c>
      <c r="CU80" s="149"/>
      <c r="CV80" s="200">
        <f>$C$51</f>
        <v>9984</v>
      </c>
      <c r="CW80" s="117">
        <f>CV80*$C$57</f>
        <v>0</v>
      </c>
      <c r="CX80" s="139">
        <f>$C$53</f>
        <v>14926</v>
      </c>
      <c r="CY80" s="145">
        <f>CX80*$C$57</f>
        <v>0</v>
      </c>
      <c r="CZ80" s="139">
        <f>$C$55</f>
        <v>58596</v>
      </c>
      <c r="DA80" s="169">
        <f>CZ80*$C$57</f>
        <v>0</v>
      </c>
      <c r="DB80" s="165">
        <f t="shared" ref="DB80:DB95" si="16">IF(BB80-BD80&lt;0,0,BB80-BD80)</f>
        <v>0</v>
      </c>
      <c r="DC80" s="140">
        <f>IF(DB80&lt;=0,0,IF(DB80&gt;CZ80,$CZ$76,IF(AND(DB80&gt;=CV80,DB80&lt;=CX80),($CX$76-$CV$76)/(CX80-CV80)*(DB80-CV80)+$CV$76,IF(AND(DB80&gt;=CX80,DB80&lt;=CZ80),($CZ$76-$CX$76)/(CZ80-CX80)*(DB80-CX80)+$CX$76,0))))</f>
        <v>0</v>
      </c>
      <c r="DD80" s="121" t="str">
        <f>IF($C$50="NEIN","NEIN",IF(DF80&lt;DE80,"JA","NEIN"))</f>
        <v>NEIN</v>
      </c>
      <c r="DE80" s="121">
        <f>DB80*$C$46</f>
        <v>0</v>
      </c>
      <c r="DF80" s="121">
        <f t="shared" ref="DF80:DF111" si="17">IF(DB80&lt;=0,0,IF(DB80&gt;CZ80,$CZ$76*DB80-9267.53,IF(AND(DB80&gt;=CV80,DB80&lt;=CX80),(1008.7*((DB80-CV80)/10000)+1400)*((DB80-CV80)/10000),IF(AND(DB80&gt;=CX80,DB80&lt;=CZ80),(206.43*((DB80-CX80)/10000)+2397)*((DB80-CX80)/10000)+938.24,0))))</f>
        <v>0</v>
      </c>
      <c r="DG80" s="201">
        <f>IF($C$50="NEIN",DE80,IF(DD80="NEIN",DE80,DF80))</f>
        <v>0</v>
      </c>
      <c r="DH80" s="159"/>
      <c r="DI80" s="125"/>
      <c r="DJ80" s="125"/>
      <c r="DK80" s="125"/>
      <c r="DL80" s="125"/>
      <c r="DM80" s="125"/>
      <c r="DN80" s="75"/>
      <c r="DO80" s="2">
        <f>$C$10</f>
        <v>2021</v>
      </c>
      <c r="DP80" s="14">
        <f>IF($C$13+$C$10&gt;=EM80,-$C$17-(AG80),IF(EM80=$C$13+$C$10+1,$EK$93,0))</f>
        <v>-24000</v>
      </c>
      <c r="DQ80" s="14">
        <f>DS80+DR80</f>
        <v>24000</v>
      </c>
      <c r="DR80" s="14">
        <f>EK80</f>
        <v>0</v>
      </c>
      <c r="DS80" s="17">
        <f>IF($DG$62=0,0,AG80)</f>
        <v>24000</v>
      </c>
      <c r="DT80" s="17">
        <f t="shared" ref="DT80:DT111" si="18">(DR80+DS80)*(1+$EK$82)</f>
        <v>25680</v>
      </c>
      <c r="DU80" s="14">
        <f>DT80-(DS80+DR80)</f>
        <v>1680</v>
      </c>
      <c r="DV80" s="33">
        <f t="shared" ref="DV80:DV111" si="19">IF(DU80&gt;0,MIN(DU80,(DR80+DS80)*$EK$85*0.7),0)</f>
        <v>11.76</v>
      </c>
      <c r="DW80" s="32">
        <f t="shared" ref="DW80:DW111" si="20">DT80*$EK$83</f>
        <v>513.6</v>
      </c>
      <c r="DX80" s="14">
        <f>IF(DU80&gt;0,MAX(DV80-DW80,0),0)</f>
        <v>0</v>
      </c>
      <c r="DY80" s="14">
        <f>DX80</f>
        <v>0</v>
      </c>
      <c r="DZ80" s="17">
        <f t="shared" ref="DZ80:DZ111" si="21">IF(DX80*$EK$86&gt;$EK$87,(DX80*$EK$86-$EK$87)*$EK$84,0)</f>
        <v>0</v>
      </c>
      <c r="EA80" s="14">
        <f>IF(DW80*$EK$86&gt;$EK$87,(DW80*$EK$86-$EK$87)*$EK$84,0)</f>
        <v>0</v>
      </c>
      <c r="EB80" s="15">
        <f>IF(DW80=0,0,IF($C$27="JA",DW80-EA80-DZ80,0))</f>
        <v>513.6</v>
      </c>
      <c r="EC80" s="15">
        <f>IF(DO80&lt;=$EK$88+$C$10,ABS(DP80))</f>
        <v>24000</v>
      </c>
      <c r="ED80" s="15">
        <f>SUM(EA80+DZ80)</f>
        <v>0</v>
      </c>
      <c r="EE80" s="16">
        <f>DT80</f>
        <v>25680</v>
      </c>
      <c r="EF80" s="15">
        <f t="shared" ref="EF80:EF111" si="22">IF(DS80&lt;=0,0,DS80-AG80)</f>
        <v>0</v>
      </c>
      <c r="EG80" s="15">
        <f>EF80</f>
        <v>0</v>
      </c>
      <c r="EH80" s="16"/>
      <c r="EI80" s="16"/>
      <c r="EJ80" s="36" t="s">
        <v>10</v>
      </c>
      <c r="EK80" s="37">
        <f>$C$17</f>
        <v>0</v>
      </c>
      <c r="EL80" s="108"/>
      <c r="EM80" s="175">
        <f>$C$10</f>
        <v>2021</v>
      </c>
      <c r="EN80" s="176">
        <f>IF($C$13+$C$10&gt;=EM80,-$C$17-(AG80),IF(EM80=$C$13+$C$10+1,$FB$93,0))</f>
        <v>-24000</v>
      </c>
      <c r="EO80" s="177">
        <f>EQ80+EP80</f>
        <v>24000</v>
      </c>
      <c r="EP80" s="177">
        <f>$FB$80</f>
        <v>0</v>
      </c>
      <c r="EQ80" s="177">
        <f>IF(AG80&gt;0,AG80,0)</f>
        <v>24000</v>
      </c>
      <c r="ER80" s="178">
        <f t="shared" ref="ER80:ER111" si="23">(EP80+EQ80)*(1+$FB$82)</f>
        <v>25680</v>
      </c>
      <c r="ES80" s="177">
        <f>ER80-(EQ80+EP80)</f>
        <v>1680</v>
      </c>
      <c r="ET80" s="178">
        <f t="shared" ref="ET80:ET111" si="24">IF(ES80&gt;0,(EP80+EQ80)*$FB$85*0.7,0)</f>
        <v>11.76</v>
      </c>
      <c r="EU80" s="177">
        <f>IF(ES80&gt;0,MIN(ES80,ET80),0)</f>
        <v>11.76</v>
      </c>
      <c r="EV80" s="178">
        <f t="shared" ref="EV80:EV111" si="25">IF(EU80*$FB$84*$FB$86&lt;=$FB$87,0,EU80*$FB$84*$FB$86)</f>
        <v>0</v>
      </c>
      <c r="EW80" s="180">
        <f>EU80</f>
        <v>11.76</v>
      </c>
      <c r="EX80" s="27">
        <f>IF(EM80&lt;=FA88,ABS(EN80))</f>
        <v>24000</v>
      </c>
      <c r="EY80" s="15"/>
      <c r="EZ80"/>
      <c r="FA80" s="36" t="s">
        <v>10</v>
      </c>
      <c r="FB80" s="37">
        <f>$C$17</f>
        <v>0</v>
      </c>
      <c r="FC80" s="75"/>
      <c r="FD80" s="75"/>
      <c r="FE80" s="75"/>
      <c r="FF80" s="75"/>
      <c r="FG80" s="75"/>
      <c r="FH80" s="75"/>
      <c r="FI80" s="75"/>
      <c r="FJ80" s="58">
        <f>C10</f>
        <v>2021</v>
      </c>
      <c r="FK80" s="59">
        <f>IF($C$13+$C$10&gt;=FJ80,-$C$17-(AG80),IF(DV80=$C$13+$C$10+1,$EK$93,0))</f>
        <v>-24000</v>
      </c>
      <c r="FL80" s="59">
        <f>IF($DG$62=0,0,FN80+FM80)</f>
        <v>24000</v>
      </c>
      <c r="FM80" s="59">
        <f>IF($DG$62=0,0,GF80)</f>
        <v>0</v>
      </c>
      <c r="FN80" s="59">
        <f>IF($DG$62=0,0,AG80)</f>
        <v>24000</v>
      </c>
      <c r="FO80" s="59">
        <f t="shared" ref="FO80:FO111" si="26">(FM80+FN80)*(1+$GF$82)</f>
        <v>25680</v>
      </c>
      <c r="FP80" s="59">
        <f>FO80-(FN80+FM80)</f>
        <v>1680</v>
      </c>
      <c r="FQ80" s="59">
        <f t="shared" ref="FQ80:FQ111" si="27">IF(FP80&gt;0,MIN(FP80,(FM80+FN80)*$GF$85*0.7),0)</f>
        <v>11.76</v>
      </c>
      <c r="FR80" s="60">
        <f t="shared" ref="FR80:FR111" si="28">FO80*$GF$83</f>
        <v>513.6</v>
      </c>
      <c r="FS80" s="59">
        <f>IF(FP80&gt;0,MAX(FQ80-FR80,0),0)</f>
        <v>0</v>
      </c>
      <c r="FT80" s="59">
        <f>FS80</f>
        <v>0</v>
      </c>
      <c r="FU80" s="65">
        <f t="shared" ref="FU80:FU111" si="29">IF(FS80*$GF$86&gt;$GF$87,(FS80*$GF$86-$GF$87)*$GF$84,0)</f>
        <v>0</v>
      </c>
      <c r="FV80" s="59">
        <f>IF(FR80*$GF$86&gt;$GF$87,(FR80*$GF$86-$GF$87)*$GF$84,0)</f>
        <v>0</v>
      </c>
      <c r="FW80" s="61">
        <f>IF(FR80=0,0,IF($C$27="JA",FR80-FV80-FU80,0))</f>
        <v>513.6</v>
      </c>
      <c r="FX80" s="61">
        <f>IF(AND(FJ80&lt;=$GF$88+$C$10,FV80&lt;=0),(FJ80-$C$10+1)*AG80+$GF$80,"")</f>
        <v>24000</v>
      </c>
      <c r="FY80" s="62">
        <f>((FR80)*$GF$86-$GF$87)/$GF$87</f>
        <v>-0.55116104868913862</v>
      </c>
      <c r="FZ80" s="63">
        <f>FO80</f>
        <v>25680</v>
      </c>
      <c r="GA80" s="64">
        <v>0</v>
      </c>
      <c r="GB80" s="64">
        <f>GA80</f>
        <v>0</v>
      </c>
      <c r="GC80" s="66">
        <f t="shared" ref="GC80:GC111" si="30">IF(FN80&lt;=0,0,FN80-AG80)</f>
        <v>0</v>
      </c>
      <c r="GD80" s="66">
        <f>GC80</f>
        <v>0</v>
      </c>
      <c r="GE80" s="36" t="s">
        <v>10</v>
      </c>
      <c r="GF80" s="37">
        <f>$C$17</f>
        <v>0</v>
      </c>
      <c r="GG80" s="75"/>
      <c r="GH80" s="75"/>
      <c r="GI80" s="3">
        <f>$C$10</f>
        <v>2021</v>
      </c>
      <c r="GJ80" s="8">
        <f>IF($GX$88+$C$10&gt;=GI80,-$GX$80-AG80,IF(GI80=$GX$88+$C$10+1,$FB$93,0))</f>
        <v>-24000</v>
      </c>
      <c r="GK80" s="4">
        <f>IF($DG$62=0,EO80,0)</f>
        <v>0</v>
      </c>
      <c r="GL80" s="4">
        <f>IF($DG$62=0,EP80,0)</f>
        <v>0</v>
      </c>
      <c r="GM80" s="34">
        <f>IF($DG$62=0,EQ80,0)</f>
        <v>0</v>
      </c>
      <c r="GN80" s="4">
        <f t="shared" ref="GN80:GN111" si="31">(GL80+GM80)*(1+$GX$82)</f>
        <v>0</v>
      </c>
      <c r="GO80" s="4">
        <f>GN80-(GM80+GL80)</f>
        <v>0</v>
      </c>
      <c r="GP80" s="5">
        <f t="shared" ref="GP80:GP111" si="32">IF(GO80&gt;0,(GL80+GM80)*$GX$85*0.7,0)</f>
        <v>0</v>
      </c>
      <c r="GQ80" s="4">
        <f>IF(GO80&gt;0,MIN(GO80,GP80),0)</f>
        <v>0</v>
      </c>
      <c r="GR80" s="4">
        <f t="shared" ref="GR80:GR111" si="33">IF($DG$62&lt;&gt;0,GQ80*$GX$86*$GX$84,IF(GQ80*$GX$86*$GX$84&lt;=$GX$87,0,GQ80*$GX$86*$GX$84))</f>
        <v>0</v>
      </c>
      <c r="GS80" s="6">
        <f>GQ80</f>
        <v>0</v>
      </c>
      <c r="GT80" s="107">
        <f>IF($DG$62=0,EX80,IF(GI80-$C$10+1&lt;=$GF$98,0,#REF!-FX80))</f>
        <v>0</v>
      </c>
      <c r="GU80"/>
      <c r="GV80"/>
      <c r="GW80" s="36" t="s">
        <v>10</v>
      </c>
      <c r="GX80" s="37">
        <f>$C$17</f>
        <v>0</v>
      </c>
      <c r="GY80" s="75"/>
      <c r="GZ80" s="75"/>
      <c r="HA80" s="75"/>
      <c r="HB80" s="75"/>
      <c r="HC80" s="75"/>
      <c r="HD80" s="75"/>
    </row>
    <row r="81" spans="1:212" s="74" customFormat="1" ht="16.149999999999999" thickBot="1" x14ac:dyDescent="0.55000000000000004">
      <c r="A81" s="75"/>
      <c r="B81" s="331"/>
      <c r="C81" s="282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AB81" s="117" t="str">
        <f t="shared" ref="AB81:AB144" si="34">IF(AND(BJ81&lt;0),AE81,"")</f>
        <v/>
      </c>
      <c r="AC81" s="117" t="str">
        <f t="shared" ref="AC81:AC144" si="35">IF(AND(BJ81&lt;0),AF81,"")</f>
        <v/>
      </c>
      <c r="AD81" s="299">
        <f>IF($C$20="NEIN",$C$21,IF($C$22="JA",'HISTORISCHE RENDITEN'!E5,'HISTORISCHE RENDITEN'!D5))</f>
        <v>7.2099999999999997E-2</v>
      </c>
      <c r="AE81" s="129">
        <f t="shared" ref="AE81:AE85" si="36">AE80+1</f>
        <v>29</v>
      </c>
      <c r="AF81" s="120">
        <f t="shared" ref="AF81:AF112" si="37">AF80+1</f>
        <v>2022</v>
      </c>
      <c r="AG81" s="122">
        <f t="shared" si="0"/>
        <v>24179.999999999993</v>
      </c>
      <c r="AH81" s="124">
        <f t="shared" ref="AH81:AH112" si="38">AH80+AJ81</f>
        <v>48179.999999999993</v>
      </c>
      <c r="AI81" s="296">
        <f>BJ80</f>
        <v>27043.199999999997</v>
      </c>
      <c r="AJ81" s="123">
        <f>AG81+AW81-AQ80</f>
        <v>24179.999999999993</v>
      </c>
      <c r="AK81" s="124">
        <f>(AI81+AJ81)*(1+AD81)</f>
        <v>54916.392719999989</v>
      </c>
      <c r="AL81" s="122">
        <f>AK81-(AJ81+AI81)</f>
        <v>3693.1927199999991</v>
      </c>
      <c r="AM81" s="122">
        <f>IF($C$25="Ausschütter",0,IF(AL81&gt;=0,(AI81+AJ81)*$C$48*0.7))</f>
        <v>25.099367999999995</v>
      </c>
      <c r="AN81" s="122">
        <f t="shared" si="2"/>
        <v>0</v>
      </c>
      <c r="AO81" s="122">
        <f t="shared" ref="AO81:AO144" si="39">IF(AL81&gt;=0,MIN(AL81,AM81),0)</f>
        <v>25.099367999999995</v>
      </c>
      <c r="AP81" s="122">
        <f>AP80+AO81</f>
        <v>36.859367999999996</v>
      </c>
      <c r="AQ81" s="122">
        <f>IF($C$25="AUSSCHÜTTER",0,IF(AO81*$C$46*$C$49&lt;=$C$47,0,AO81*$C$46*$C$49))</f>
        <v>0</v>
      </c>
      <c r="AR81" s="122">
        <f>IF(AO80*$C$49&gt;$C$47,(AN81)*$C$49*$C$46,IF((AO80+AN81)*$C$49&gt;$C$47,((AO80+AN81)*$C$49-$C$47)*$C$46,0))</f>
        <v>0</v>
      </c>
      <c r="AS81" s="122">
        <f>AN81-AR81-AQ81</f>
        <v>0</v>
      </c>
      <c r="AT81" s="122">
        <f t="shared" ref="AT81:AT112" si="40">IF(AG81=0,AT80,IF(AF81&lt;=$C$13+$C$10,ABS(AG81)+AT80,AT80))</f>
        <v>48179.999999999993</v>
      </c>
      <c r="AU81" s="122">
        <f>SUM(AR81+AQ81)+AU80</f>
        <v>0</v>
      </c>
      <c r="AV81" s="122">
        <f>AK81</f>
        <v>54916.392719999989</v>
      </c>
      <c r="AW81" s="122">
        <f t="shared" ref="AW81:AW112" si="41">IF(OR($C$25="THESAURIERER",$C$27="NEIN"),0,IF(AS80&lt;=0,0,AS80))</f>
        <v>0</v>
      </c>
      <c r="AX81" s="130">
        <f t="shared" ref="AX81:AX112" si="42">IF($C$25="THESAURIERER",0,AW81+AX80)</f>
        <v>0</v>
      </c>
      <c r="AY81" s="82">
        <f>IF(AF81&lt;$C$11,$C$15*(1+$C$19)^(AF81-$C$10),0)</f>
        <v>42629.999999999993</v>
      </c>
      <c r="AZ81" s="82">
        <f>$C$14*(1+$C$37)^(AF81-$C$10)</f>
        <v>18450</v>
      </c>
      <c r="BA81" s="165">
        <f>IF(AF81&lt;$C$11,0,MAX($C$38*AI81,AZ81))</f>
        <v>0</v>
      </c>
      <c r="BB81" s="82">
        <f>IF(AF81&lt;$C$11,0,MAX($C$38*AI81,AZ81))</f>
        <v>0</v>
      </c>
      <c r="BC81" s="136">
        <f>IF($C$39="JA",CT81,DG81)</f>
        <v>0</v>
      </c>
      <c r="BD81" s="82">
        <f t="shared" si="3"/>
        <v>0</v>
      </c>
      <c r="BE81" s="82">
        <f>IF(AF81&lt;($C$8+$C$30),0,$C$29*12*(1-$C$31))</f>
        <v>0</v>
      </c>
      <c r="BF81" s="82">
        <f>IF(AF81&lt;($C$8+$C$34),0,$C$33*12*(1-$C$35))</f>
        <v>0</v>
      </c>
      <c r="BG81" s="82">
        <f>IF(AF81&lt;$C$11,0,IF(AI81&lt;0,$C$42*(1+$C$44)^(AF81-$C$10),IF(((AL81+BE81+BF81)*$C$41)&lt;$C$42*(1+$C$44)^(AF81-$C$10),$C$42*(1+$C$44)^(AF81-$C$10),IF(((AL81+BE81+BF81)*$C$41)&lt;$C$43*(1+$C$44)^(AF81-$C$10),(AL81+BE81+BF81)*$C$41,IF(((AL81+BE81+BF81+BB81)*$C$41)&lt;$C$43*(1+$C$44)^(AF81-$C$10),((AL81+BE81+BF81+BB81)*$C$41),$C$43*(1+$C$44)^(AF81-$C$10))))))</f>
        <v>0</v>
      </c>
      <c r="BH81" s="82">
        <f>IF(AF81&lt;$C$11,AZ81+BG81+BC81+AR81+AQ81+BD81,BG81+AQ81+AR81+BC81+(BB81-BD81)+BD81)</f>
        <v>18450</v>
      </c>
      <c r="BI81" s="242">
        <f>AI81+AY81+BE81+BF81+AL81</f>
        <v>73366.392719999974</v>
      </c>
      <c r="BJ81" s="217">
        <f>BI81-BH81</f>
        <v>54916.392719999974</v>
      </c>
      <c r="BK81" s="218"/>
      <c r="BL81" s="219">
        <f t="shared" si="4"/>
        <v>0</v>
      </c>
      <c r="BM81" s="220">
        <f t="shared" si="5"/>
        <v>2</v>
      </c>
      <c r="BN81" s="220">
        <f t="shared" si="6"/>
        <v>16</v>
      </c>
      <c r="BO81" s="221">
        <f t="shared" si="7"/>
        <v>92319.935544316249</v>
      </c>
      <c r="BP81" s="221">
        <f t="shared" si="8"/>
        <v>24179.999999999993</v>
      </c>
      <c r="BQ81" s="222">
        <f t="shared" si="9"/>
        <v>2.8180287652736262</v>
      </c>
      <c r="BR81" s="223">
        <f>IF(BM81&lt;$C$11-$C$10+1,0,IF(BL81&lt;=$C$13,VLOOKUP(BL81,$BN$80:$BQ$156,2,FALSE)-BS81,0))</f>
        <v>0</v>
      </c>
      <c r="BS81" s="223">
        <f>IF(BM81&lt;$C$11-$C$10+1,0,IF(BL81&lt;=$C$13,VLOOKUP(BL81,$BN$80:$BQ$156,3,FALSE),0))</f>
        <v>0</v>
      </c>
      <c r="BT81" s="222">
        <f>IF(BM81&lt;$C$11-$C$10+1,0,IF(BL81&lt;=$C$13,VLOOKUP(BL81,$BN$80:$BQ$156,4,FALSE),0))</f>
        <v>0</v>
      </c>
      <c r="BU81" s="223">
        <f t="shared" ref="BU81:BU112" si="43">IF((BR81+BS81)-CA81+BU80&lt;0,0,(BR81+BS81)-CA81+BU80)</f>
        <v>0</v>
      </c>
      <c r="BV81" s="223">
        <f t="shared" ref="BV81:BV112" si="44">IF(BS81-CA81+BV80&gt;0,BS81-CA81+BV80,0)</f>
        <v>0</v>
      </c>
      <c r="BW81" s="223">
        <f t="shared" ref="BW81:BW93" si="45">BU80+BR81</f>
        <v>0</v>
      </c>
      <c r="BX81" s="223">
        <f>IF(AND(BS81&lt;=0,BN81=0),MIN((MAX($BZ$80:$BZ$156)-SUM($BX$80:BX80)),CA81),IF(BS81&lt;CA81,BS81,CA81))</f>
        <v>0</v>
      </c>
      <c r="BY81" s="222">
        <f>IF(BN81&gt;0,0,IF(AND(BN81=0,BT81&lt;=0),100%,((BW80*(AVERAGE($BT$80:BT80))+(BR81*BT81))/(BR81+BW80+BS81+BV80))))</f>
        <v>0</v>
      </c>
      <c r="BZ81" s="139">
        <f t="shared" ref="BZ81:BZ112" si="46">AG81+BZ80</f>
        <v>48179.999999999993</v>
      </c>
      <c r="CA81" s="122">
        <f t="shared" si="10"/>
        <v>0</v>
      </c>
      <c r="CB81" s="181">
        <f t="shared" ref="CB81:CB144" si="47">BY81</f>
        <v>0</v>
      </c>
      <c r="CC81" s="122">
        <f t="shared" ref="CC81:CC144" si="48">CA81+CC80</f>
        <v>0</v>
      </c>
      <c r="CD81" s="182">
        <f t="shared" si="11"/>
        <v>0</v>
      </c>
      <c r="CE81" s="122">
        <f>CD81+CE80</f>
        <v>0</v>
      </c>
      <c r="CF81" s="122">
        <f>BZ81-CE81</f>
        <v>48179.999999999993</v>
      </c>
      <c r="CG81" s="122" t="str">
        <f t="shared" si="12"/>
        <v/>
      </c>
      <c r="CH81" s="140">
        <f t="shared" si="13"/>
        <v>0</v>
      </c>
      <c r="CI81" s="142">
        <f>CI80+CJ80</f>
        <v>9984</v>
      </c>
      <c r="CJ81" s="134">
        <f>CI81*$C$57</f>
        <v>0</v>
      </c>
      <c r="CK81" s="142">
        <f>CK80+CL80</f>
        <v>14926</v>
      </c>
      <c r="CL81" s="134">
        <f>CK81*$C$57</f>
        <v>0</v>
      </c>
      <c r="CM81" s="142">
        <f>CM80+CN80</f>
        <v>58596</v>
      </c>
      <c r="CN81" s="134">
        <f>CM81*$C$57</f>
        <v>0</v>
      </c>
      <c r="CO81" s="132">
        <f t="shared" ref="CO81:CO87" si="49">CA81*CH81</f>
        <v>0</v>
      </c>
      <c r="CP81" s="140">
        <f t="shared" si="14"/>
        <v>0</v>
      </c>
      <c r="CQ81" s="121" t="str">
        <f>IF($C$50="NEIN","NEIN",IF(CS81&lt;CR81,"JA","NEIN"))</f>
        <v>NEIN</v>
      </c>
      <c r="CR81" s="121">
        <f>CO81*$C$46</f>
        <v>0</v>
      </c>
      <c r="CS81" s="121">
        <f t="shared" si="15"/>
        <v>0</v>
      </c>
      <c r="CT81" s="201">
        <f>IF($C$50="NEIN",CR81,IF(CQ81="NEIN",CR81,CS81))</f>
        <v>0</v>
      </c>
      <c r="CU81" s="149"/>
      <c r="CV81" s="202">
        <f>CV80+CW80</f>
        <v>9984</v>
      </c>
      <c r="CW81" s="134">
        <f>CV81*$C$57</f>
        <v>0</v>
      </c>
      <c r="CX81" s="142">
        <f>CX80+CY80</f>
        <v>14926</v>
      </c>
      <c r="CY81" s="134">
        <f>CX81*$C$57</f>
        <v>0</v>
      </c>
      <c r="CZ81" s="142">
        <f>CZ80+DA80</f>
        <v>58596</v>
      </c>
      <c r="DA81" s="143">
        <f>CZ81*$C$57</f>
        <v>0</v>
      </c>
      <c r="DB81" s="165">
        <f t="shared" si="16"/>
        <v>0</v>
      </c>
      <c r="DC81" s="140">
        <f t="shared" ref="DC81:DC111" si="50">IF(DB81&lt;=0,0,IF(DB81&gt;CZ81,$CZ$76,IF(AND(DB81&gt;=CV81,DB81&lt;=CX81),($CX$76-$CV$76)/(CX81-CV81)*(DB81-CV81)+$CV$76,IF(AND(DB81&gt;=CX81,DB81&lt;=CZ81),($CZ$76-$CX$76)/(CZ81-CX81)*(DB81-CX81)+$CX$76,0))))</f>
        <v>0</v>
      </c>
      <c r="DD81" s="121" t="str">
        <f>IF($C$50="NEIN","NEIN",IF(DF81&lt;DE81,"JA","NEIN"))</f>
        <v>NEIN</v>
      </c>
      <c r="DE81" s="121">
        <f>DB81*$C$46</f>
        <v>0</v>
      </c>
      <c r="DF81" s="121">
        <f t="shared" si="17"/>
        <v>0</v>
      </c>
      <c r="DG81" s="201">
        <f>IF($C$50="NEIN",DE81,IF(DD81="NEIN",DE81,DF81))</f>
        <v>0</v>
      </c>
      <c r="DH81" s="159"/>
      <c r="DI81" s="125"/>
      <c r="DJ81" s="125"/>
      <c r="DK81" s="125"/>
      <c r="DL81" s="125"/>
      <c r="DM81" s="125"/>
      <c r="DN81" s="75"/>
      <c r="DO81" s="28">
        <f>DO80+1</f>
        <v>2022</v>
      </c>
      <c r="DP81" s="17">
        <f>IF($C$13+$C$10&gt;=DO81,-AG81,IF(DO81=$C$13+$C$10+1,$EK$93,0))</f>
        <v>-24179.999999999993</v>
      </c>
      <c r="DQ81" s="17">
        <f>DQ80+DS81</f>
        <v>48693.599999999991</v>
      </c>
      <c r="DR81" s="17">
        <f>DT80-DW80</f>
        <v>25166.400000000001</v>
      </c>
      <c r="DS81" s="17">
        <f t="shared" ref="DS81:DS112" si="51">AG81+EB80</f>
        <v>24693.599999999991</v>
      </c>
      <c r="DT81" s="17">
        <f t="shared" si="18"/>
        <v>53350.2</v>
      </c>
      <c r="DU81" s="17">
        <f t="shared" ref="DU81" si="52">DT81-(DS81+DR81)</f>
        <v>3490.2000000000044</v>
      </c>
      <c r="DV81" s="33">
        <f t="shared" si="19"/>
        <v>24.431399999999993</v>
      </c>
      <c r="DW81" s="32">
        <f t="shared" si="20"/>
        <v>1067.0039999999999</v>
      </c>
      <c r="DX81" s="17">
        <f>IF(DU81&gt;0,MAX(DV81-DW81,0),0)</f>
        <v>0</v>
      </c>
      <c r="DY81" s="17">
        <f>DY80+DX81</f>
        <v>0</v>
      </c>
      <c r="DZ81" s="17">
        <f t="shared" si="21"/>
        <v>0</v>
      </c>
      <c r="EA81" s="17">
        <f t="shared" ref="EA81:EA112" si="53">IF(DX80*$EK$86&gt;$EK$87,(DW81)*$EK$86*$EK$84,IF((DX80+DW81)*$EK$86&gt;$EK$87,((DX80+DW81)*$EK$86-$EK$87)*$EK$84,0))</f>
        <v>0</v>
      </c>
      <c r="EB81" s="15">
        <f t="shared" ref="EB81:EB112" si="54">IF($C$27="JA",DW81-EA81-DZ81,0)</f>
        <v>1067.0039999999999</v>
      </c>
      <c r="EC81" s="15">
        <f>IF(DP81=0,EC80,IF(DO81&lt;=$EK$88+$C$10,ABS(DP81)+EC80,EC80))</f>
        <v>48179.999999999993</v>
      </c>
      <c r="ED81" s="15">
        <f>SUM(EA81+DZ81)+ED80</f>
        <v>0</v>
      </c>
      <c r="EE81" s="16">
        <f t="shared" ref="EE81" si="55">DT81</f>
        <v>53350.2</v>
      </c>
      <c r="EF81" s="15">
        <f t="shared" si="22"/>
        <v>513.59999999999854</v>
      </c>
      <c r="EG81" s="15">
        <f>EF81+EG80</f>
        <v>513.59999999999854</v>
      </c>
      <c r="EH81" s="16"/>
      <c r="EI81" s="16"/>
      <c r="EJ81" s="38" t="s">
        <v>89</v>
      </c>
      <c r="EK81" s="39">
        <f>$C$15-$C$14</f>
        <v>24000</v>
      </c>
      <c r="EL81" s="108"/>
      <c r="EM81" s="175">
        <f>EM80+1</f>
        <v>2022</v>
      </c>
      <c r="EN81" s="176">
        <f>IF($C$13+$C$10&gt;=EM81,-AG81,IF(EM81=$C$13+$C$10+1,$FB$93,0))</f>
        <v>-24179.999999999993</v>
      </c>
      <c r="EO81" s="177">
        <f>EO80+EQ81</f>
        <v>48179.999999999993</v>
      </c>
      <c r="EP81" s="177">
        <f>ER80</f>
        <v>25680</v>
      </c>
      <c r="EQ81" s="177">
        <f t="shared" ref="EQ81:EQ112" si="56">AG81-EV80</f>
        <v>24179.999999999993</v>
      </c>
      <c r="ER81" s="178">
        <f t="shared" si="23"/>
        <v>53350.2</v>
      </c>
      <c r="ES81" s="177">
        <f>ER81-(EQ81+EP81)</f>
        <v>3490.2000000000044</v>
      </c>
      <c r="ET81" s="178">
        <f t="shared" si="24"/>
        <v>24.431399999999993</v>
      </c>
      <c r="EU81" s="177">
        <f>IF(ES81&gt;0,MIN(ES81,ET81),0)</f>
        <v>24.431399999999993</v>
      </c>
      <c r="EV81" s="178">
        <f t="shared" si="25"/>
        <v>0</v>
      </c>
      <c r="EW81" s="180">
        <f>EW80+EU81</f>
        <v>36.191399999999994</v>
      </c>
      <c r="EX81" s="27">
        <f>IF(EM81=0,EX80,IF(EM81&lt;=$FB$88+$C$10,ABS(EN81)+EX80,EX80))</f>
        <v>48179.999999999993</v>
      </c>
      <c r="EY81" s="15"/>
      <c r="EZ81"/>
      <c r="FA81" s="38" t="s">
        <v>89</v>
      </c>
      <c r="FB81" s="39">
        <f>$C$15-$C$14</f>
        <v>24000</v>
      </c>
      <c r="FC81" s="75"/>
      <c r="FD81" s="75"/>
      <c r="FE81" s="75"/>
      <c r="FF81" s="75"/>
      <c r="FG81" s="75"/>
      <c r="FH81" s="75"/>
      <c r="FI81" s="75"/>
      <c r="FJ81" s="28">
        <f>FJ80+1</f>
        <v>2022</v>
      </c>
      <c r="FK81" s="65">
        <f>IF($C$13+$C$10&gt;=FJ81,-AG81,IF(FJ81=$C$13+$C$10+1,$EK$93,0))</f>
        <v>-24179.999999999993</v>
      </c>
      <c r="FL81" s="65">
        <f t="shared" ref="FL81" si="57">FL80+FN81</f>
        <v>48693.599999999991</v>
      </c>
      <c r="FM81" s="65">
        <f t="shared" ref="FM81" si="58">FO80-FR80</f>
        <v>25166.400000000001</v>
      </c>
      <c r="FN81" s="65">
        <f t="shared" ref="FN81:FN112" si="59">IF(FY80&gt;=$GF$97,0,AG81+FW80)</f>
        <v>24693.599999999991</v>
      </c>
      <c r="FO81" s="65">
        <f t="shared" si="26"/>
        <v>53350.2</v>
      </c>
      <c r="FP81" s="65">
        <f t="shared" ref="FP81" si="60">FO81-(FN81+FM81)</f>
        <v>3490.2000000000044</v>
      </c>
      <c r="FQ81" s="59">
        <f t="shared" si="27"/>
        <v>24.431399999999993</v>
      </c>
      <c r="FR81" s="60">
        <f t="shared" si="28"/>
        <v>1067.0039999999999</v>
      </c>
      <c r="FS81" s="65">
        <f>IF(FP81&gt;0,MAX(FQ81-FR81,0),0)</f>
        <v>0</v>
      </c>
      <c r="FT81" s="65">
        <f>FT80+FS81</f>
        <v>0</v>
      </c>
      <c r="FU81" s="65">
        <f t="shared" si="29"/>
        <v>0</v>
      </c>
      <c r="FV81" s="65">
        <f t="shared" ref="FV81:FV112" si="61">IF(FS80*$GF$86&gt;$GF$87,(FR81)*$GF$86*$GF$84,IF((FS80+FR81)*$GF$86&gt;$GF$87,((FS80+FR81)*$GF$86-$GF$87)*$GF$84,0))</f>
        <v>0</v>
      </c>
      <c r="FW81" s="61">
        <f t="shared" ref="FW81:FW112" si="62">IF($C$27="JA",FR81-FV81-FU81,0)</f>
        <v>1067.0039999999999</v>
      </c>
      <c r="FX81" s="61">
        <f>IF(AND(FJ81&lt;=$GF$88+$C$10,FV80&lt;=0,FN81&gt;0),(FJ81-$C$10+1)*AG81+$GF$80,FX80)</f>
        <v>48359.999999999985</v>
      </c>
      <c r="FY81" s="62">
        <f t="shared" ref="FY81:FY112" si="63">((FS80+FR81)*$GF$86-$GF$87)/$GF$87</f>
        <v>-6.7537078651685595E-2</v>
      </c>
      <c r="FZ81" s="63">
        <f t="shared" ref="FZ81" si="64">FO81</f>
        <v>53350.2</v>
      </c>
      <c r="GA81" s="64">
        <f>FR80</f>
        <v>513.6</v>
      </c>
      <c r="GB81" s="64">
        <f>GA81+GB80</f>
        <v>513.6</v>
      </c>
      <c r="GC81" s="66">
        <f t="shared" si="30"/>
        <v>513.59999999999854</v>
      </c>
      <c r="GD81" s="64">
        <f>GC81+GD80</f>
        <v>513.59999999999854</v>
      </c>
      <c r="GE81" s="38" t="s">
        <v>89</v>
      </c>
      <c r="GF81" s="39">
        <f>$C$15-$C$14</f>
        <v>24000</v>
      </c>
      <c r="GG81" s="75"/>
      <c r="GH81" s="75"/>
      <c r="GI81" s="28">
        <f>GI80+1</f>
        <v>2022</v>
      </c>
      <c r="GJ81" s="9">
        <f>IF($GX$88+$C$10&gt;=GI81,-AG81,IF(GI81=$GX$88+$C$10+1,$FB$93,0))</f>
        <v>-24179.999999999993</v>
      </c>
      <c r="GK81" s="5">
        <f>GK80+GM81</f>
        <v>0</v>
      </c>
      <c r="GL81" s="5">
        <f>GN80</f>
        <v>0</v>
      </c>
      <c r="GM81" s="35">
        <f t="shared" ref="GM81:GM112" si="65">IF(FX80=$GF$94,AG81-GR80+FW80,0)</f>
        <v>0</v>
      </c>
      <c r="GN81" s="4">
        <f t="shared" si="31"/>
        <v>0</v>
      </c>
      <c r="GO81" s="5">
        <f>GN81-(GM81+GL81)</f>
        <v>0</v>
      </c>
      <c r="GP81" s="5">
        <f t="shared" si="32"/>
        <v>0</v>
      </c>
      <c r="GQ81" s="5">
        <f t="shared" ref="GQ81" si="66">IF(GO81&gt;0,MIN(GO81,GP81),0)</f>
        <v>0</v>
      </c>
      <c r="GR81" s="4">
        <f t="shared" si="33"/>
        <v>0</v>
      </c>
      <c r="GS81" s="7">
        <f>GS80+GQ81</f>
        <v>0</v>
      </c>
      <c r="GT81" s="107">
        <f>IF($DG$62=0,EX81,IF(GI81-$C$10+1&lt;=$GF$98,0,#REF!-FX81))</f>
        <v>0</v>
      </c>
      <c r="GU81"/>
      <c r="GV81"/>
      <c r="GW81" s="38" t="s">
        <v>89</v>
      </c>
      <c r="GX81" s="39">
        <f>$C$15-$C$14</f>
        <v>24000</v>
      </c>
      <c r="GY81" s="75"/>
      <c r="GZ81" s="75"/>
      <c r="HA81" s="75"/>
      <c r="HB81" s="75"/>
      <c r="HC81" s="75"/>
      <c r="HD81" s="75"/>
    </row>
    <row r="82" spans="1:212" s="74" customFormat="1" ht="16.149999999999999" thickBot="1" x14ac:dyDescent="0.55000000000000004">
      <c r="A82" s="75"/>
      <c r="B82" s="331"/>
      <c r="C82" s="282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AB82" s="117" t="str">
        <f t="shared" si="34"/>
        <v/>
      </c>
      <c r="AC82" s="117" t="str">
        <f t="shared" si="35"/>
        <v/>
      </c>
      <c r="AD82" s="299">
        <f>IF($C$20="NEIN",$C$21,IF($C$22="JA",'HISTORISCHE RENDITEN'!E6,'HISTORISCHE RENDITEN'!D6))</f>
        <v>0.21460000000000001</v>
      </c>
      <c r="AE82" s="129">
        <f t="shared" si="36"/>
        <v>30</v>
      </c>
      <c r="AF82" s="119">
        <f t="shared" si="37"/>
        <v>2023</v>
      </c>
      <c r="AG82" s="122">
        <f t="shared" si="0"/>
        <v>24358.19999999999</v>
      </c>
      <c r="AH82" s="124">
        <f>AH81+AJ82</f>
        <v>72538.199999999983</v>
      </c>
      <c r="AI82" s="296">
        <f>BJ81</f>
        <v>54916.392719999974</v>
      </c>
      <c r="AJ82" s="123">
        <f t="shared" ref="AJ82:AJ145" si="67">AG82+AW82-AQ81</f>
        <v>24358.19999999999</v>
      </c>
      <c r="AK82" s="124">
        <f t="shared" ref="AK82:AK112" si="68">(AI82+AJ82)*(1+AD82)</f>
        <v>96286.920317711934</v>
      </c>
      <c r="AL82" s="122">
        <f t="shared" si="1"/>
        <v>17012.327597711977</v>
      </c>
      <c r="AM82" s="122">
        <f>IF($C$25="Ausschütter",0,IF(AL82&gt;=0,(AI82+AJ82)*$C$48*0.7))</f>
        <v>38.844550432799977</v>
      </c>
      <c r="AN82" s="122">
        <f t="shared" si="2"/>
        <v>0</v>
      </c>
      <c r="AO82" s="122">
        <f t="shared" si="39"/>
        <v>38.844550432799977</v>
      </c>
      <c r="AP82" s="122">
        <f t="shared" ref="AP82:AP145" si="69">AP81+AO82</f>
        <v>75.703918432799981</v>
      </c>
      <c r="AQ82" s="122">
        <f>IF($C$25="AUSSCHÜTTER",0,IF(AO82*$C$46*$C$49&lt;=$C$47,0,AO82*$C$46*$C$49))</f>
        <v>0</v>
      </c>
      <c r="AR82" s="122">
        <f>IF(AO81*$C$49&gt;$C$47,(AN82)*$C$49*$C$46,IF((AO81+AN82)*$C$49&gt;$C$47,((AO81+AN82)*$C$49-$C$47)*$C$46,0))</f>
        <v>0</v>
      </c>
      <c r="AS82" s="122">
        <f t="shared" ref="AS82:AS145" si="70">AN82-AR82-AQ82</f>
        <v>0</v>
      </c>
      <c r="AT82" s="122">
        <f t="shared" si="40"/>
        <v>72538.199999999983</v>
      </c>
      <c r="AU82" s="122">
        <f>SUM(AR82+AQ82)+AU81</f>
        <v>0</v>
      </c>
      <c r="AV82" s="122">
        <f t="shared" ref="AV82:AV145" si="71">AK82</f>
        <v>96286.920317711934</v>
      </c>
      <c r="AW82" s="122">
        <f t="shared" si="41"/>
        <v>0</v>
      </c>
      <c r="AX82" s="130">
        <f t="shared" si="42"/>
        <v>0</v>
      </c>
      <c r="AY82" s="82">
        <f>IF(AF82&lt;$C$11,$C$15*(1+$C$19)^(AF82-$C$10),0)</f>
        <v>43269.44999999999</v>
      </c>
      <c r="AZ82" s="82">
        <f>$C$14*(1+$C$37)^(AF82-$C$10)</f>
        <v>18911.25</v>
      </c>
      <c r="BA82" s="165">
        <f>IF(AF82&lt;$C$11,0,MAX($C$38*AI82,AZ82))</f>
        <v>0</v>
      </c>
      <c r="BB82" s="82">
        <f>IF(AF82&lt;$C$11,0,MAX($C$38*AI82,AZ82))</f>
        <v>0</v>
      </c>
      <c r="BC82" s="136">
        <f>IF($C$39="JA",CT82,DG82)</f>
        <v>0</v>
      </c>
      <c r="BD82" s="82">
        <f t="shared" si="3"/>
        <v>0</v>
      </c>
      <c r="BE82" s="82">
        <f>IF(AF82&lt;($C$8+$C$30),0,$C$29*12*(1-$C$31))</f>
        <v>0</v>
      </c>
      <c r="BF82" s="82">
        <f>IF(AF82&lt;($C$8+$C$34),0,$C$33*12*(1-$C$35))</f>
        <v>0</v>
      </c>
      <c r="BG82" s="82">
        <f>IF(AF82&lt;$C$11,0,IF(AI82&lt;0,$C$42*(1+$C$44)^(AF82-$C$10),IF(((AL82+BE82+BF82)*$C$41)&lt;$C$42*(1+$C$44)^(AF82-$C$10),$C$42*(1+$C$44)^(AF82-$C$10),IF(((AL82+BE82+BF82)*$C$41)&lt;$C$43*(1+$C$44)^(AF82-$C$10),(AL82+BE82+BF82)*$C$41,IF(((AL82+BE82+BF82+BB82)*$C$41)&lt;$C$43*(1+$C$44)^(AF82-$C$10),((AL82+BE82+BF82+BB82)*$C$41),$C$43*(1+$C$44)^(AF82-$C$10))))))</f>
        <v>0</v>
      </c>
      <c r="BH82" s="82">
        <f t="shared" ref="BH82:BH145" si="72">IF(AF82&lt;$C$11,AZ82+BG82+BC82+AR82+AQ82+BD82,BG82+AQ82+AR82+BC82+(BB82-BD82)+BD82)</f>
        <v>18911.25</v>
      </c>
      <c r="BI82" s="242">
        <f t="shared" ref="BI82:BI144" si="73">AI82+AY82+BE82+BF82+AL82</f>
        <v>115198.17031771193</v>
      </c>
      <c r="BJ82" s="217">
        <f t="shared" ref="BJ82:BJ144" si="74">BI82-BH82</f>
        <v>96286.920317711934</v>
      </c>
      <c r="BK82" s="218"/>
      <c r="BL82" s="219">
        <f t="shared" si="4"/>
        <v>0</v>
      </c>
      <c r="BM82" s="220">
        <f t="shared" si="5"/>
        <v>3</v>
      </c>
      <c r="BN82" s="220">
        <f t="shared" si="6"/>
        <v>15</v>
      </c>
      <c r="BO82" s="221">
        <f t="shared" si="7"/>
        <v>85530.190311055776</v>
      </c>
      <c r="BP82" s="221">
        <f t="shared" si="8"/>
        <v>24358.19999999999</v>
      </c>
      <c r="BQ82" s="222">
        <f t="shared" si="9"/>
        <v>2.5113510157177381</v>
      </c>
      <c r="BR82" s="223">
        <f>IF(BM82&lt;$C$11-$C$10+1,0,IF(BL82&lt;=$C$13,VLOOKUP(BL82,$BN$80:$BQ$156,2,FALSE)-BS82,0))</f>
        <v>0</v>
      </c>
      <c r="BS82" s="223">
        <f>IF(BM82&lt;$C$11-$C$10+1,0,IF(BL82&lt;=$C$13,VLOOKUP(BL82,$BN$80:$BQ$156,3,FALSE),0))</f>
        <v>0</v>
      </c>
      <c r="BT82" s="222">
        <f>IF(BM82&lt;$C$11-$C$10+1,0,IF(BL82&lt;=$C$13,VLOOKUP(BL82,$BN$80:$BQ$156,4,FALSE),0))</f>
        <v>0</v>
      </c>
      <c r="BU82" s="223">
        <f t="shared" si="43"/>
        <v>0</v>
      </c>
      <c r="BV82" s="223">
        <f t="shared" si="44"/>
        <v>0</v>
      </c>
      <c r="BW82" s="223">
        <f t="shared" si="45"/>
        <v>0</v>
      </c>
      <c r="BX82" s="223">
        <f>IF(AND(BS82&lt;=0,BN82=0),MIN((MAX($BZ$80:$BZ$156)-SUM($BX$80:BX81)),CA82),IF(BS82&lt;CA82,BS82,CA82))</f>
        <v>0</v>
      </c>
      <c r="BY82" s="222">
        <f>IF(BN82&gt;0,0,IF(AND(BN82=0,BT82&lt;=0),100%,((BW81*(AVERAGE($BT$80:BT81))+(BR82*BT82))/(BR82+BW81+BS82+BV81))))</f>
        <v>0</v>
      </c>
      <c r="BZ82" s="139">
        <f t="shared" si="46"/>
        <v>72538.199999999983</v>
      </c>
      <c r="CA82" s="122">
        <f t="shared" si="10"/>
        <v>0</v>
      </c>
      <c r="CB82" s="181">
        <f t="shared" si="47"/>
        <v>0</v>
      </c>
      <c r="CC82" s="122">
        <f t="shared" si="48"/>
        <v>0</v>
      </c>
      <c r="CD82" s="182">
        <f t="shared" si="11"/>
        <v>0</v>
      </c>
      <c r="CE82" s="122">
        <f t="shared" ref="CE82:CE145" si="75">CD82+CE81</f>
        <v>0</v>
      </c>
      <c r="CF82" s="122">
        <f t="shared" ref="CF82:CF145" si="76">BZ82-CE82</f>
        <v>72538.199999999983</v>
      </c>
      <c r="CG82" s="122" t="str">
        <f t="shared" si="12"/>
        <v/>
      </c>
      <c r="CH82" s="140">
        <f t="shared" si="13"/>
        <v>0</v>
      </c>
      <c r="CI82" s="142">
        <f t="shared" ref="CI82:CI145" si="77">CI81+CJ81</f>
        <v>9984</v>
      </c>
      <c r="CJ82" s="134">
        <f>CI82*$C$57</f>
        <v>0</v>
      </c>
      <c r="CK82" s="142">
        <f t="shared" ref="CK82:CK145" si="78">CK81+CL81</f>
        <v>14926</v>
      </c>
      <c r="CL82" s="134">
        <f>CK82*$C$57</f>
        <v>0</v>
      </c>
      <c r="CM82" s="142">
        <f t="shared" ref="CM82:CM145" si="79">CM81+CN81</f>
        <v>58596</v>
      </c>
      <c r="CN82" s="134">
        <f>CM82*$C$57</f>
        <v>0</v>
      </c>
      <c r="CO82" s="132">
        <f t="shared" si="49"/>
        <v>0</v>
      </c>
      <c r="CP82" s="140">
        <f t="shared" si="14"/>
        <v>0</v>
      </c>
      <c r="CQ82" s="121" t="str">
        <f>IF($C$50="NEIN","NEIN",IF(CS82&lt;CR82,"JA","NEIN"))</f>
        <v>NEIN</v>
      </c>
      <c r="CR82" s="121">
        <f>CO82*$C$46</f>
        <v>0</v>
      </c>
      <c r="CS82" s="121">
        <f t="shared" si="15"/>
        <v>0</v>
      </c>
      <c r="CT82" s="201">
        <f>IF($C$50="NEIN",CR82,IF(CQ82="NEIN",CR82,CS82))</f>
        <v>0</v>
      </c>
      <c r="CU82" s="149"/>
      <c r="CV82" s="202">
        <f t="shared" ref="CV82:CV145" si="80">CV81+CW81</f>
        <v>9984</v>
      </c>
      <c r="CW82" s="134">
        <f>CV82*$C$57</f>
        <v>0</v>
      </c>
      <c r="CX82" s="142">
        <f t="shared" ref="CX82:CX145" si="81">CX81+CY81</f>
        <v>14926</v>
      </c>
      <c r="CY82" s="134">
        <f>CX82*$C$57</f>
        <v>0</v>
      </c>
      <c r="CZ82" s="142">
        <f t="shared" ref="CZ82:CZ145" si="82">CZ81+DA81</f>
        <v>58596</v>
      </c>
      <c r="DA82" s="143">
        <f>CZ82*$C$57</f>
        <v>0</v>
      </c>
      <c r="DB82" s="165">
        <f t="shared" si="16"/>
        <v>0</v>
      </c>
      <c r="DC82" s="140">
        <f t="shared" si="50"/>
        <v>0</v>
      </c>
      <c r="DD82" s="121" t="str">
        <f>IF($C$50="NEIN","NEIN",IF(DF82&lt;DE82,"JA","NEIN"))</f>
        <v>NEIN</v>
      </c>
      <c r="DE82" s="121">
        <f>DB82*$C$46</f>
        <v>0</v>
      </c>
      <c r="DF82" s="121">
        <f t="shared" si="17"/>
        <v>0</v>
      </c>
      <c r="DG82" s="201">
        <f>IF($C$50="NEIN",DE82,IF(DD82="NEIN",DE82,DF82))</f>
        <v>0</v>
      </c>
      <c r="DH82" s="159"/>
      <c r="DI82" s="125"/>
      <c r="DJ82" s="125"/>
      <c r="DK82" s="125"/>
      <c r="DL82" s="125"/>
      <c r="DM82" s="125"/>
      <c r="DN82" s="75"/>
      <c r="DO82" s="28">
        <f t="shared" ref="DO82:DO145" si="83">DO81+1</f>
        <v>2023</v>
      </c>
      <c r="DP82" s="17">
        <f>IF($C$13+$C$10&gt;=DO82,-AG82,IF(DO82=$C$13+$C$10+1,$EK$93,0))</f>
        <v>-24358.19999999999</v>
      </c>
      <c r="DQ82" s="17">
        <f t="shared" ref="DQ82:DQ145" si="84">DQ81+DS82</f>
        <v>74118.803999999975</v>
      </c>
      <c r="DR82" s="17">
        <f t="shared" ref="DR82:DR145" si="85">DT81-DW81</f>
        <v>52283.195999999996</v>
      </c>
      <c r="DS82" s="17">
        <f t="shared" si="51"/>
        <v>25425.203999999991</v>
      </c>
      <c r="DT82" s="17">
        <f t="shared" si="18"/>
        <v>83147.987999999998</v>
      </c>
      <c r="DU82" s="17">
        <f t="shared" ref="DU82:DU145" si="86">DT82-(DS82+DR82)</f>
        <v>5439.5880000000034</v>
      </c>
      <c r="DV82" s="33">
        <f t="shared" si="19"/>
        <v>38.077115999999997</v>
      </c>
      <c r="DW82" s="32">
        <f t="shared" si="20"/>
        <v>1662.95976</v>
      </c>
      <c r="DX82" s="17">
        <f t="shared" ref="DX82:DX145" si="87">IF(DU82&gt;0,MAX(DV82-DW82,0),0)</f>
        <v>0</v>
      </c>
      <c r="DY82" s="17">
        <f t="shared" ref="DY82:DY145" si="88">DY81+DX82</f>
        <v>0</v>
      </c>
      <c r="DZ82" s="17">
        <f t="shared" si="21"/>
        <v>0</v>
      </c>
      <c r="EA82" s="17">
        <f t="shared" si="53"/>
        <v>95.760195689999961</v>
      </c>
      <c r="EB82" s="15">
        <f t="shared" si="54"/>
        <v>1567.1995643099999</v>
      </c>
      <c r="EC82" s="15">
        <f>IF(DP82=0,EC81,IF(DO82&lt;=$EK$88+$C$10,ABS(DP82)+EC81,EC81))</f>
        <v>72538.199999999983</v>
      </c>
      <c r="ED82" s="15">
        <f t="shared" ref="ED82:ED145" si="89">SUM(EA82+DZ82)+ED81</f>
        <v>95.760195689999961</v>
      </c>
      <c r="EE82" s="16">
        <f t="shared" ref="EE82:EE145" si="90">DT82</f>
        <v>83147.987999999998</v>
      </c>
      <c r="EF82" s="15">
        <f t="shared" si="22"/>
        <v>1067.0040000000008</v>
      </c>
      <c r="EG82" s="15">
        <f t="shared" ref="EG82:EG145" si="91">EF82+EG81</f>
        <v>1580.6039999999994</v>
      </c>
      <c r="EH82" s="16"/>
      <c r="EI82" s="16"/>
      <c r="EJ82" s="38" t="s">
        <v>31</v>
      </c>
      <c r="EK82" s="40">
        <f>$C$21</f>
        <v>7.0000000000000007E-2</v>
      </c>
      <c r="EL82" s="109"/>
      <c r="EM82" s="28">
        <f t="shared" ref="EM82:EM145" si="92">EM81+1</f>
        <v>2023</v>
      </c>
      <c r="EN82" s="29">
        <f>IF($C$13+$C$10&gt;=EM82,-(AG82),IF(EM82=$C$13+$C$10+1,$FB$93,0))</f>
        <v>-24358.19999999999</v>
      </c>
      <c r="EO82" s="30">
        <f t="shared" ref="EO82:EO145" si="93">EO81+EQ82</f>
        <v>72538.199999999983</v>
      </c>
      <c r="EP82" s="30">
        <f t="shared" ref="EP82:EP145" si="94">ER81</f>
        <v>53350.2</v>
      </c>
      <c r="EQ82" s="30">
        <f t="shared" si="56"/>
        <v>24358.19999999999</v>
      </c>
      <c r="ER82" s="25">
        <f t="shared" si="23"/>
        <v>83147.987999999998</v>
      </c>
      <c r="ES82" s="30">
        <f t="shared" ref="ES82:ES145" si="95">ER82-(EQ82+EP82)</f>
        <v>5439.5880000000034</v>
      </c>
      <c r="ET82" s="26">
        <f t="shared" si="24"/>
        <v>38.077115999999997</v>
      </c>
      <c r="EU82" s="30">
        <f t="shared" ref="EU82:EU145" si="96">IF(ES82&gt;0,MIN(ES82,ET82),0)</f>
        <v>38.077115999999997</v>
      </c>
      <c r="EV82" s="25">
        <f t="shared" si="25"/>
        <v>0</v>
      </c>
      <c r="EW82" s="31">
        <f t="shared" ref="EW82:EW145" si="97">EW81+EU82</f>
        <v>74.268515999999991</v>
      </c>
      <c r="EX82" s="27">
        <f>IF(EM82=0,EX81,IF(EM82&lt;=$FB$88+$C$10,ABS(EN82)+EX81,EX81))</f>
        <v>72538.199999999983</v>
      </c>
      <c r="EY82" s="15"/>
      <c r="EZ82"/>
      <c r="FA82" s="38" t="s">
        <v>31</v>
      </c>
      <c r="FB82" s="40">
        <f>$C$21</f>
        <v>7.0000000000000007E-2</v>
      </c>
      <c r="FC82" s="75"/>
      <c r="FD82" s="75"/>
      <c r="FE82" s="75"/>
      <c r="FF82" s="75"/>
      <c r="FG82" s="75"/>
      <c r="FH82" s="75"/>
      <c r="FI82" s="75"/>
      <c r="FJ82" s="28">
        <f t="shared" ref="FJ82:FJ145" si="98">FJ81+1</f>
        <v>2023</v>
      </c>
      <c r="FK82" s="65">
        <f>IF($C$13+$C$10&gt;=FJ82,-AG82,IF(FJ82=$C$13+$C$10+1,$EK$93,0))</f>
        <v>-24358.19999999999</v>
      </c>
      <c r="FL82" s="65">
        <f t="shared" ref="FL82:FL145" si="99">FL81+FN82</f>
        <v>74118.803999999975</v>
      </c>
      <c r="FM82" s="65">
        <f t="shared" ref="FM82:FM145" si="100">FO81-FR81</f>
        <v>52283.195999999996</v>
      </c>
      <c r="FN82" s="65">
        <f t="shared" si="59"/>
        <v>25425.203999999991</v>
      </c>
      <c r="FO82" s="65">
        <f t="shared" si="26"/>
        <v>83147.987999999998</v>
      </c>
      <c r="FP82" s="65">
        <f t="shared" ref="FP82:FP145" si="101">FO82-(FN82+FM82)</f>
        <v>5439.5880000000034</v>
      </c>
      <c r="FQ82" s="59">
        <f t="shared" si="27"/>
        <v>38.077115999999997</v>
      </c>
      <c r="FR82" s="60">
        <f t="shared" si="28"/>
        <v>1662.95976</v>
      </c>
      <c r="FS82" s="65">
        <f t="shared" ref="FS82:FS145" si="102">IF(FP82&gt;0,MAX(FQ82-FR82,0),0)</f>
        <v>0</v>
      </c>
      <c r="FT82" s="65">
        <f t="shared" ref="FT82:FT145" si="103">FT81+FS82</f>
        <v>0</v>
      </c>
      <c r="FU82" s="65">
        <f t="shared" si="29"/>
        <v>0</v>
      </c>
      <c r="FV82" s="65">
        <f t="shared" si="61"/>
        <v>95.760195689999961</v>
      </c>
      <c r="FW82" s="61">
        <f t="shared" si="62"/>
        <v>1567.1995643099999</v>
      </c>
      <c r="FX82" s="61">
        <f>IF(AND(FJ82&lt;=$GF$88+$C$10,FV81&lt;=0,FN82&gt;0),(FJ82-$C$10+1)*AG82+$GF$80,FX81)</f>
        <v>73074.599999999977</v>
      </c>
      <c r="FY82" s="62">
        <f t="shared" si="63"/>
        <v>0.45327319850187248</v>
      </c>
      <c r="FZ82" s="63">
        <f t="shared" ref="FZ82:FZ145" si="104">FO82</f>
        <v>83147.987999999998</v>
      </c>
      <c r="GA82" s="64">
        <f t="shared" ref="GA82:GA145" si="105">FR81</f>
        <v>1067.0039999999999</v>
      </c>
      <c r="GB82" s="64">
        <f t="shared" ref="GB82:GB145" si="106">GA82+GB81</f>
        <v>1580.6039999999998</v>
      </c>
      <c r="GC82" s="66">
        <f t="shared" si="30"/>
        <v>1067.0040000000008</v>
      </c>
      <c r="GD82" s="64">
        <f t="shared" ref="GD82:GD145" si="107">GC82+GD81</f>
        <v>1580.6039999999994</v>
      </c>
      <c r="GE82" s="38" t="s">
        <v>31</v>
      </c>
      <c r="GF82" s="40">
        <f>$C$21</f>
        <v>7.0000000000000007E-2</v>
      </c>
      <c r="GG82" s="75"/>
      <c r="GH82" s="75"/>
      <c r="GI82" s="28">
        <f t="shared" ref="GI82:GI145" si="108">GI81+1</f>
        <v>2023</v>
      </c>
      <c r="GJ82" s="9">
        <f>IF($GX$88+$C$10&gt;=GI82,-AG82,IF(GI82=$GX$88+$C$10+1,$FB$93,0))</f>
        <v>-24358.19999999999</v>
      </c>
      <c r="GK82" s="5">
        <f t="shared" ref="GK82:GK145" si="109">GK81+GM82</f>
        <v>0</v>
      </c>
      <c r="GL82" s="5">
        <f t="shared" ref="GL82:GL145" si="110">GN81</f>
        <v>0</v>
      </c>
      <c r="GM82" s="35">
        <f t="shared" si="65"/>
        <v>0</v>
      </c>
      <c r="GN82" s="4">
        <f t="shared" si="31"/>
        <v>0</v>
      </c>
      <c r="GO82" s="5">
        <f t="shared" ref="GO82:GO145" si="111">GN82-(GM82+GL82)</f>
        <v>0</v>
      </c>
      <c r="GP82" s="5">
        <f t="shared" si="32"/>
        <v>0</v>
      </c>
      <c r="GQ82" s="5">
        <f t="shared" ref="GQ82:GQ145" si="112">IF(GO82&gt;0,MIN(GO82,GP82),0)</f>
        <v>0</v>
      </c>
      <c r="GR82" s="4">
        <f t="shared" si="33"/>
        <v>0</v>
      </c>
      <c r="GS82" s="7">
        <f t="shared" ref="GS82:GS145" si="113">GS81+GQ82</f>
        <v>0</v>
      </c>
      <c r="GT82" s="107">
        <f>IF($DG$62=0,EX82,IF(GI82-$C$10+1&lt;=$GF$98,0,#REF!-FX82))</f>
        <v>0</v>
      </c>
      <c r="GU82"/>
      <c r="GV82"/>
      <c r="GW82" s="38" t="s">
        <v>31</v>
      </c>
      <c r="GX82" s="40">
        <f>$C$21</f>
        <v>7.0000000000000007E-2</v>
      </c>
      <c r="GY82" s="75"/>
      <c r="GZ82" s="75"/>
      <c r="HA82" s="75"/>
      <c r="HB82" s="75"/>
      <c r="HC82" s="75"/>
      <c r="HD82" s="75"/>
    </row>
    <row r="83" spans="1:212" s="74" customFormat="1" ht="16.149999999999999" thickBot="1" x14ac:dyDescent="0.55000000000000004">
      <c r="A83" s="75"/>
      <c r="B83" s="331"/>
      <c r="C83" s="282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AB83" s="117" t="str">
        <f t="shared" si="34"/>
        <v/>
      </c>
      <c r="AC83" s="117" t="str">
        <f t="shared" si="35"/>
        <v/>
      </c>
      <c r="AD83" s="299">
        <f>IF($C$20="NEIN",$C$21,IF($C$22="JA",'HISTORISCHE RENDITEN'!E7,'HISTORISCHE RENDITEN'!D7))</f>
        <v>-7.9199999999999993E-2</v>
      </c>
      <c r="AE83" s="129">
        <f t="shared" si="36"/>
        <v>31</v>
      </c>
      <c r="AF83" s="120">
        <f t="shared" si="37"/>
        <v>2024</v>
      </c>
      <c r="AG83" s="122">
        <f t="shared" si="0"/>
        <v>24534.46049999999</v>
      </c>
      <c r="AH83" s="124">
        <f t="shared" si="38"/>
        <v>97072.660499999969</v>
      </c>
      <c r="AI83" s="296">
        <f t="shared" ref="AI83:AI145" si="114">BJ82</f>
        <v>96286.920317711934</v>
      </c>
      <c r="AJ83" s="123">
        <f t="shared" si="67"/>
        <v>24534.46049999999</v>
      </c>
      <c r="AK83" s="124">
        <f t="shared" si="68"/>
        <v>111252.32745694915</v>
      </c>
      <c r="AL83" s="122">
        <f t="shared" si="1"/>
        <v>-9569.0533607627731</v>
      </c>
      <c r="AM83" s="122" t="b">
        <f>IF($C$25="Ausschütter",0,IF(AL83&gt;=0,(AI83+AJ83)*$C$48*0.7))</f>
        <v>0</v>
      </c>
      <c r="AN83" s="122">
        <f t="shared" si="2"/>
        <v>0</v>
      </c>
      <c r="AO83" s="122">
        <f t="shared" si="39"/>
        <v>0</v>
      </c>
      <c r="AP83" s="122">
        <f t="shared" si="69"/>
        <v>75.703918432799981</v>
      </c>
      <c r="AQ83" s="122">
        <f>IF($C$25="AUSSCHÜTTER",0,IF(AO83*$C$46*$C$49&lt;=$C$47,0,AO83*$C$46*$C$49))</f>
        <v>0</v>
      </c>
      <c r="AR83" s="122">
        <f>IF(AO82*$C$49&gt;$C$47,(AN83)*$C$49*$C$46,IF((AO82+AN83)*$C$49&gt;$C$47,((AO82+AN83)*$C$49-$C$47)*$C$46,0))</f>
        <v>0</v>
      </c>
      <c r="AS83" s="122">
        <f t="shared" si="70"/>
        <v>0</v>
      </c>
      <c r="AT83" s="122">
        <f t="shared" si="40"/>
        <v>97072.660499999969</v>
      </c>
      <c r="AU83" s="122">
        <f t="shared" ref="AU83:AU145" si="115">SUM(AR83+AQ83)+AU82</f>
        <v>0</v>
      </c>
      <c r="AV83" s="122">
        <f t="shared" si="71"/>
        <v>111252.32745694915</v>
      </c>
      <c r="AW83" s="122">
        <f t="shared" si="41"/>
        <v>0</v>
      </c>
      <c r="AX83" s="130">
        <f t="shared" si="42"/>
        <v>0</v>
      </c>
      <c r="AY83" s="82">
        <f>IF(AF83&lt;$C$11,$C$15*(1+$C$19)^(AF83-$C$10),0)</f>
        <v>43918.491749999986</v>
      </c>
      <c r="AZ83" s="82">
        <f>$C$14*(1+$C$37)^(AF83-$C$10)</f>
        <v>19384.031249999996</v>
      </c>
      <c r="BA83" s="165">
        <f>IF(AF83&lt;$C$11,0,MAX($C$38*AI83,AZ83))</f>
        <v>0</v>
      </c>
      <c r="BB83" s="82">
        <f>IF(AF83&lt;$C$11,0,MAX($C$38*AI83,AZ83))</f>
        <v>0</v>
      </c>
      <c r="BC83" s="136">
        <f>IF($C$39="JA",CT83,DG83)</f>
        <v>0</v>
      </c>
      <c r="BD83" s="82">
        <f t="shared" si="3"/>
        <v>0</v>
      </c>
      <c r="BE83" s="82">
        <f>IF(AF83&lt;($C$8+$C$30),0,$C$29*12*(1-$C$31))</f>
        <v>0</v>
      </c>
      <c r="BF83" s="82">
        <f>IF(AF83&lt;($C$8+$C$34),0,$C$33*12*(1-$C$35))</f>
        <v>0</v>
      </c>
      <c r="BG83" s="82">
        <f>IF(AF83&lt;$C$11,0,IF(AI83&lt;0,$C$42*(1+$C$44)^(AF83-$C$10),IF(((AL83+BE83+BF83)*$C$41)&lt;$C$42*(1+$C$44)^(AF83-$C$10),$C$42*(1+$C$44)^(AF83-$C$10),IF(((AL83+BE83+BF83)*$C$41)&lt;$C$43*(1+$C$44)^(AF83-$C$10),(AL83+BE83+BF83)*$C$41,IF(((AL83+BE83+BF83+BB83)*$C$41)&lt;$C$43*(1+$C$44)^(AF83-$C$10),((AL83+BE83+BF83+BB83)*$C$41),$C$43*(1+$C$44)^(AF83-$C$10))))))</f>
        <v>0</v>
      </c>
      <c r="BH83" s="82">
        <f t="shared" si="72"/>
        <v>19384.031249999996</v>
      </c>
      <c r="BI83" s="242">
        <f t="shared" si="73"/>
        <v>130636.35870694916</v>
      </c>
      <c r="BJ83" s="217">
        <f t="shared" si="74"/>
        <v>111252.32745694916</v>
      </c>
      <c r="BK83" s="218"/>
      <c r="BL83" s="219">
        <f t="shared" si="4"/>
        <v>0</v>
      </c>
      <c r="BM83" s="220">
        <f t="shared" si="5"/>
        <v>4</v>
      </c>
      <c r="BN83" s="220">
        <f t="shared" si="6"/>
        <v>14</v>
      </c>
      <c r="BO83" s="221">
        <f t="shared" si="7"/>
        <v>79229.298207474829</v>
      </c>
      <c r="BP83" s="221">
        <f t="shared" si="8"/>
        <v>24534.46049999999</v>
      </c>
      <c r="BQ83" s="222">
        <f t="shared" si="9"/>
        <v>2.2293067217628391</v>
      </c>
      <c r="BR83" s="223">
        <f>IF(BM83&lt;$C$11-$C$10+1,0,IF(BL83&lt;=$C$13,VLOOKUP(BL83,$BN$80:$BQ$156,2,FALSE)-BS83,0))</f>
        <v>0</v>
      </c>
      <c r="BS83" s="223">
        <f>IF(BM83&lt;$C$11-$C$10+1,0,IF(BL83&lt;=$C$13,VLOOKUP(BL83,$BN$80:$BQ$156,3,FALSE),0))</f>
        <v>0</v>
      </c>
      <c r="BT83" s="222">
        <f>IF(BM83&lt;$C$11-$C$10+1,0,IF(BL83&lt;=$C$13,VLOOKUP(BL83,$BN$80:$BQ$156,4,FALSE),0))</f>
        <v>0</v>
      </c>
      <c r="BU83" s="223">
        <f t="shared" si="43"/>
        <v>0</v>
      </c>
      <c r="BV83" s="223">
        <f t="shared" si="44"/>
        <v>0</v>
      </c>
      <c r="BW83" s="223">
        <f t="shared" si="45"/>
        <v>0</v>
      </c>
      <c r="BX83" s="223">
        <f>IF(AND(BS83&lt;=0,BN83=0),MIN((MAX($BZ$80:$BZ$156)-SUM($BX$80:BX82)),CA83),IF(BS83&lt;CA83,BS83,CA83))</f>
        <v>0</v>
      </c>
      <c r="BY83" s="222">
        <f>IF(BN83&gt;0,0,IF(AND(BN83=0,BT83&lt;=0),100%,((BW82*(AVERAGE($BT$80:BT82))+(BR83*BT83))/(BR83+BW82+BS83+BV82))))</f>
        <v>0</v>
      </c>
      <c r="BZ83" s="139">
        <f t="shared" si="46"/>
        <v>97072.660499999969</v>
      </c>
      <c r="CA83" s="122">
        <f t="shared" si="10"/>
        <v>0</v>
      </c>
      <c r="CB83" s="181">
        <f t="shared" si="47"/>
        <v>0</v>
      </c>
      <c r="CC83" s="122">
        <f t="shared" si="48"/>
        <v>0</v>
      </c>
      <c r="CD83" s="182">
        <f t="shared" si="11"/>
        <v>0</v>
      </c>
      <c r="CE83" s="122">
        <f t="shared" si="75"/>
        <v>0</v>
      </c>
      <c r="CF83" s="122">
        <f t="shared" si="76"/>
        <v>97072.660499999969</v>
      </c>
      <c r="CG83" s="122" t="str">
        <f t="shared" si="12"/>
        <v/>
      </c>
      <c r="CH83" s="140">
        <f t="shared" si="13"/>
        <v>0</v>
      </c>
      <c r="CI83" s="142">
        <f t="shared" si="77"/>
        <v>9984</v>
      </c>
      <c r="CJ83" s="134">
        <f>CI83*$C$57</f>
        <v>0</v>
      </c>
      <c r="CK83" s="142">
        <f t="shared" si="78"/>
        <v>14926</v>
      </c>
      <c r="CL83" s="134">
        <f>CK83*$C$57</f>
        <v>0</v>
      </c>
      <c r="CM83" s="142">
        <f t="shared" si="79"/>
        <v>58596</v>
      </c>
      <c r="CN83" s="134">
        <f>CM83*$C$57</f>
        <v>0</v>
      </c>
      <c r="CO83" s="132">
        <f t="shared" si="49"/>
        <v>0</v>
      </c>
      <c r="CP83" s="140">
        <f t="shared" si="14"/>
        <v>0</v>
      </c>
      <c r="CQ83" s="121" t="str">
        <f>IF($C$50="NEIN","NEIN",IF(CS83&lt;CR83,"JA","NEIN"))</f>
        <v>NEIN</v>
      </c>
      <c r="CR83" s="121">
        <f>CO83*$C$46</f>
        <v>0</v>
      </c>
      <c r="CS83" s="121">
        <f t="shared" si="15"/>
        <v>0</v>
      </c>
      <c r="CT83" s="201">
        <f>IF($C$50="NEIN",CR83,IF(CQ83="NEIN",CR83,CS83))</f>
        <v>0</v>
      </c>
      <c r="CU83" s="149"/>
      <c r="CV83" s="202">
        <f t="shared" si="80"/>
        <v>9984</v>
      </c>
      <c r="CW83" s="134">
        <f>CV83*$C$57</f>
        <v>0</v>
      </c>
      <c r="CX83" s="142">
        <f t="shared" si="81"/>
        <v>14926</v>
      </c>
      <c r="CY83" s="134">
        <f>CX83*$C$57</f>
        <v>0</v>
      </c>
      <c r="CZ83" s="142">
        <f t="shared" si="82"/>
        <v>58596</v>
      </c>
      <c r="DA83" s="143">
        <f>CZ83*$C$57</f>
        <v>0</v>
      </c>
      <c r="DB83" s="165">
        <f t="shared" si="16"/>
        <v>0</v>
      </c>
      <c r="DC83" s="140">
        <f t="shared" si="50"/>
        <v>0</v>
      </c>
      <c r="DD83" s="121" t="str">
        <f>IF($C$50="NEIN","NEIN",IF(DF83&lt;DE83,"JA","NEIN"))</f>
        <v>NEIN</v>
      </c>
      <c r="DE83" s="121">
        <f>DB83*$C$46</f>
        <v>0</v>
      </c>
      <c r="DF83" s="121">
        <f t="shared" si="17"/>
        <v>0</v>
      </c>
      <c r="DG83" s="201">
        <f>IF($C$50="NEIN",DE83,IF(DD83="NEIN",DE83,DF83))</f>
        <v>0</v>
      </c>
      <c r="DH83" s="159"/>
      <c r="DI83" s="125"/>
      <c r="DJ83" s="125"/>
      <c r="DK83" s="125"/>
      <c r="DL83" s="125"/>
      <c r="DM83" s="125"/>
      <c r="DN83" s="75"/>
      <c r="DO83" s="28">
        <f t="shared" si="83"/>
        <v>2024</v>
      </c>
      <c r="DP83" s="17">
        <f>IF($C$13+$C$10&gt;=DO83,-AG83,IF(DO83=$C$13+$C$10+1,$EK$93,0))</f>
        <v>-24534.46049999999</v>
      </c>
      <c r="DQ83" s="17">
        <f t="shared" si="84"/>
        <v>100220.46406430996</v>
      </c>
      <c r="DR83" s="17">
        <f t="shared" si="85"/>
        <v>81485.02824</v>
      </c>
      <c r="DS83" s="17">
        <f t="shared" si="51"/>
        <v>26101.660064309988</v>
      </c>
      <c r="DT83" s="17">
        <f t="shared" si="18"/>
        <v>115117.7564856117</v>
      </c>
      <c r="DU83" s="17">
        <f t="shared" si="86"/>
        <v>7531.0681813017</v>
      </c>
      <c r="DV83" s="33">
        <f t="shared" si="19"/>
        <v>52.717477269111896</v>
      </c>
      <c r="DW83" s="32">
        <f t="shared" si="20"/>
        <v>2302.355129712234</v>
      </c>
      <c r="DX83" s="17">
        <f t="shared" si="87"/>
        <v>0</v>
      </c>
      <c r="DY83" s="17">
        <f t="shared" si="88"/>
        <v>0</v>
      </c>
      <c r="DZ83" s="17">
        <f t="shared" si="21"/>
        <v>0</v>
      </c>
      <c r="EA83" s="17">
        <f t="shared" si="53"/>
        <v>213.80856582312114</v>
      </c>
      <c r="EB83" s="15">
        <f t="shared" si="54"/>
        <v>2088.5465638891128</v>
      </c>
      <c r="EC83" s="15">
        <f>IF(DP83=0,EC82,IF(DO83&lt;=$EK$88+$C$10,ABS(DP83)+EC82,EC82))</f>
        <v>97072.660499999969</v>
      </c>
      <c r="ED83" s="15">
        <f t="shared" si="89"/>
        <v>309.5687615131211</v>
      </c>
      <c r="EE83" s="16">
        <f t="shared" si="90"/>
        <v>115117.7564856117</v>
      </c>
      <c r="EF83" s="15">
        <f t="shared" si="22"/>
        <v>1567.1995643099981</v>
      </c>
      <c r="EG83" s="15">
        <f t="shared" si="91"/>
        <v>3147.8035643099975</v>
      </c>
      <c r="EH83" s="16"/>
      <c r="EI83" s="16"/>
      <c r="EJ83" s="38" t="s">
        <v>32</v>
      </c>
      <c r="EK83" s="40">
        <f>$C$26</f>
        <v>0.02</v>
      </c>
      <c r="EL83" s="109"/>
      <c r="EM83" s="28">
        <f t="shared" si="92"/>
        <v>2024</v>
      </c>
      <c r="EN83" s="29">
        <f>IF($C$13+$C$10&gt;=EM83,-(AG83),IF(EM83=$C$13+$C$10+1,$FB$93,0))</f>
        <v>-24534.46049999999</v>
      </c>
      <c r="EO83" s="30">
        <f t="shared" si="93"/>
        <v>97072.660499999969</v>
      </c>
      <c r="EP83" s="30">
        <f t="shared" si="94"/>
        <v>83147.987999999998</v>
      </c>
      <c r="EQ83" s="30">
        <f t="shared" si="56"/>
        <v>24534.46049999999</v>
      </c>
      <c r="ER83" s="25">
        <f t="shared" si="23"/>
        <v>115220.21989499999</v>
      </c>
      <c r="ES83" s="30">
        <f t="shared" si="95"/>
        <v>7537.7713950000034</v>
      </c>
      <c r="ET83" s="26">
        <f t="shared" si="24"/>
        <v>52.764399764999986</v>
      </c>
      <c r="EU83" s="30">
        <f t="shared" si="96"/>
        <v>52.764399764999986</v>
      </c>
      <c r="EV83" s="25">
        <f t="shared" si="25"/>
        <v>0</v>
      </c>
      <c r="EW83" s="31">
        <f t="shared" si="97"/>
        <v>127.03291576499998</v>
      </c>
      <c r="EX83" s="27">
        <f>IF(EM83=0,EX82,IF(EM83&lt;=$FB$88+$C$10,ABS(EN83)+EX82,EX82))</f>
        <v>97072.660499999969</v>
      </c>
      <c r="EY83" s="15"/>
      <c r="EZ83"/>
      <c r="FA83" s="38" t="s">
        <v>32</v>
      </c>
      <c r="FB83" s="40">
        <f>$C$26</f>
        <v>0.02</v>
      </c>
      <c r="FC83" s="75"/>
      <c r="FD83" s="75"/>
      <c r="FE83" s="75"/>
      <c r="FF83" s="75"/>
      <c r="FG83" s="75"/>
      <c r="FH83" s="75"/>
      <c r="FI83" s="75"/>
      <c r="FJ83" s="28">
        <f t="shared" si="98"/>
        <v>2024</v>
      </c>
      <c r="FK83" s="65">
        <f>IF($C$13+$C$10&gt;=FJ83,-AG83,IF(FJ83=$C$13+$C$10+1,$EK$93,0))</f>
        <v>-24534.46049999999</v>
      </c>
      <c r="FL83" s="65">
        <f t="shared" si="99"/>
        <v>74118.803999999975</v>
      </c>
      <c r="FM83" s="65">
        <f t="shared" si="100"/>
        <v>81485.02824</v>
      </c>
      <c r="FN83" s="65">
        <f t="shared" si="59"/>
        <v>0</v>
      </c>
      <c r="FO83" s="65">
        <f t="shared" si="26"/>
        <v>87188.980216800002</v>
      </c>
      <c r="FP83" s="65">
        <f t="shared" si="101"/>
        <v>5703.9519768000027</v>
      </c>
      <c r="FQ83" s="59">
        <f t="shared" si="27"/>
        <v>39.927663837599994</v>
      </c>
      <c r="FR83" s="60">
        <f t="shared" si="28"/>
        <v>1743.7796043360001</v>
      </c>
      <c r="FS83" s="65">
        <f t="shared" si="102"/>
        <v>0</v>
      </c>
      <c r="FT83" s="65">
        <f t="shared" si="103"/>
        <v>0</v>
      </c>
      <c r="FU83" s="65">
        <f t="shared" si="29"/>
        <v>0</v>
      </c>
      <c r="FV83" s="65">
        <f t="shared" si="61"/>
        <v>110.681559450534</v>
      </c>
      <c r="FW83" s="61">
        <f t="shared" si="62"/>
        <v>1633.0980448854662</v>
      </c>
      <c r="FX83" s="61">
        <f>IF(AND(FJ83&lt;=$GF$88+$C$10,FV82&lt;=0,FN83&gt;0),(FJ83-$C$10+1)*AG83+$GF$80,FX82)</f>
        <v>73074.599999999977</v>
      </c>
      <c r="FY83" s="62">
        <f t="shared" si="63"/>
        <v>0.52390227594906369</v>
      </c>
      <c r="FZ83" s="63">
        <f t="shared" si="104"/>
        <v>87188.980216800002</v>
      </c>
      <c r="GA83" s="64">
        <f t="shared" si="105"/>
        <v>1662.95976</v>
      </c>
      <c r="GB83" s="64">
        <f t="shared" si="106"/>
        <v>3243.56376</v>
      </c>
      <c r="GC83" s="66">
        <f t="shared" si="30"/>
        <v>0</v>
      </c>
      <c r="GD83" s="64">
        <f t="shared" si="107"/>
        <v>1580.6039999999994</v>
      </c>
      <c r="GE83" s="38" t="s">
        <v>32</v>
      </c>
      <c r="GF83" s="40">
        <f>$C$26</f>
        <v>0.02</v>
      </c>
      <c r="GG83" s="75"/>
      <c r="GH83" s="75"/>
      <c r="GI83" s="28">
        <f t="shared" si="108"/>
        <v>2024</v>
      </c>
      <c r="GJ83" s="9">
        <f>IF($GX$88+$C$10&gt;=GI83,-AG83,IF(GI83=$GX$88+$C$10+1,$FB$93,0))</f>
        <v>-24534.46049999999</v>
      </c>
      <c r="GK83" s="5">
        <f t="shared" si="109"/>
        <v>26101.660064309988</v>
      </c>
      <c r="GL83" s="5">
        <f t="shared" si="110"/>
        <v>0</v>
      </c>
      <c r="GM83" s="35">
        <f t="shared" si="65"/>
        <v>26101.660064309988</v>
      </c>
      <c r="GN83" s="4">
        <f t="shared" si="31"/>
        <v>27928.776268811689</v>
      </c>
      <c r="GO83" s="5">
        <f t="shared" si="111"/>
        <v>1827.1162045017008</v>
      </c>
      <c r="GP83" s="5">
        <f t="shared" si="32"/>
        <v>12.789813431511895</v>
      </c>
      <c r="GQ83" s="5">
        <f t="shared" si="112"/>
        <v>12.789813431511895</v>
      </c>
      <c r="GR83" s="4">
        <f t="shared" si="33"/>
        <v>2.3613193047928833</v>
      </c>
      <c r="GS83" s="7">
        <f t="shared" si="113"/>
        <v>12.789813431511895</v>
      </c>
      <c r="GT83" s="107" t="e">
        <f>IF($DG$62=0,EX83,IF(GI83-$C$10+1&lt;=$GF$98,0,#REF!-FX83))</f>
        <v>#REF!</v>
      </c>
      <c r="GU83"/>
      <c r="GV83"/>
      <c r="GW83" s="38" t="s">
        <v>32</v>
      </c>
      <c r="GX83" s="40">
        <f>$C$26</f>
        <v>0.02</v>
      </c>
      <c r="GY83" s="75"/>
      <c r="GZ83" s="75"/>
      <c r="HA83" s="75"/>
      <c r="HB83" s="75"/>
      <c r="HC83" s="75"/>
      <c r="HD83" s="75"/>
    </row>
    <row r="84" spans="1:212" s="74" customFormat="1" ht="16.149999999999999" thickBot="1" x14ac:dyDescent="0.55000000000000004">
      <c r="A84" s="75"/>
      <c r="B84" s="331"/>
      <c r="C84" s="282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AB84" s="117" t="str">
        <f t="shared" si="34"/>
        <v/>
      </c>
      <c r="AC84" s="117" t="str">
        <f t="shared" si="35"/>
        <v/>
      </c>
      <c r="AD84" s="299">
        <f>IF($C$20="NEIN",$C$21,IF($C$22="JA",'HISTORISCHE RENDITEN'!E8,'HISTORISCHE RENDITEN'!D8))</f>
        <v>5.8200000000000002E-2</v>
      </c>
      <c r="AE84" s="129">
        <f t="shared" si="36"/>
        <v>32</v>
      </c>
      <c r="AF84" s="120">
        <f t="shared" si="37"/>
        <v>2025</v>
      </c>
      <c r="AG84" s="122">
        <f t="shared" si="0"/>
        <v>24708.637094999984</v>
      </c>
      <c r="AH84" s="124">
        <f t="shared" si="38"/>
        <v>121781.29759499995</v>
      </c>
      <c r="AI84" s="296">
        <f t="shared" si="114"/>
        <v>111252.32745694916</v>
      </c>
      <c r="AJ84" s="123">
        <f t="shared" si="67"/>
        <v>24708.637094999984</v>
      </c>
      <c r="AK84" s="124">
        <f t="shared" si="68"/>
        <v>143873.89268887258</v>
      </c>
      <c r="AL84" s="122">
        <f t="shared" si="1"/>
        <v>7912.9281369234377</v>
      </c>
      <c r="AM84" s="122">
        <f>IF($C$25="Ausschütter",0,IF(AL84&gt;=0,(AI84+AJ84)*$C$48*0.7))</f>
        <v>66.620872630455082</v>
      </c>
      <c r="AN84" s="122">
        <f t="shared" si="2"/>
        <v>0</v>
      </c>
      <c r="AO84" s="122">
        <f t="shared" si="39"/>
        <v>66.620872630455082</v>
      </c>
      <c r="AP84" s="122">
        <f t="shared" si="69"/>
        <v>142.32479106325508</v>
      </c>
      <c r="AQ84" s="122">
        <f>IF($C$25="AUSSCHÜTTER",0,IF(AO84*$C$46*$C$49&lt;=$C$47,0,AO84*$C$46*$C$49))</f>
        <v>0</v>
      </c>
      <c r="AR84" s="122">
        <f>IF(AO83*$C$49&gt;$C$47,(AN84)*$C$49*$C$46,IF((AO83+AN84)*$C$49&gt;$C$47,((AO83+AN84)*$C$49-$C$47)*$C$46,0))</f>
        <v>0</v>
      </c>
      <c r="AS84" s="122">
        <f t="shared" si="70"/>
        <v>0</v>
      </c>
      <c r="AT84" s="122">
        <f t="shared" si="40"/>
        <v>121781.29759499995</v>
      </c>
      <c r="AU84" s="122">
        <f t="shared" si="115"/>
        <v>0</v>
      </c>
      <c r="AV84" s="122">
        <f t="shared" si="71"/>
        <v>143873.89268887258</v>
      </c>
      <c r="AW84" s="122">
        <f t="shared" si="41"/>
        <v>0</v>
      </c>
      <c r="AX84" s="130">
        <f t="shared" si="42"/>
        <v>0</v>
      </c>
      <c r="AY84" s="82">
        <f>IF(AF84&lt;$C$11,$C$15*(1+$C$19)^(AF84-$C$10),0)</f>
        <v>44577.269126249979</v>
      </c>
      <c r="AZ84" s="82">
        <f>$C$14*(1+$C$37)^(AF84-$C$10)</f>
        <v>19868.632031249996</v>
      </c>
      <c r="BA84" s="165">
        <f>IF(AF84&lt;$C$11,0,MAX($C$38*AI84,AZ84))</f>
        <v>0</v>
      </c>
      <c r="BB84" s="82">
        <f>IF(AF84&lt;$C$11,0,MAX($C$38*AI84,AZ84))</f>
        <v>0</v>
      </c>
      <c r="BC84" s="136">
        <f>IF($C$39="JA",CT84,DG84)</f>
        <v>0</v>
      </c>
      <c r="BD84" s="82">
        <f t="shared" si="3"/>
        <v>0</v>
      </c>
      <c r="BE84" s="82">
        <f>IF(AF84&lt;($C$8+$C$30),0,$C$29*12*(1-$C$31))</f>
        <v>0</v>
      </c>
      <c r="BF84" s="82">
        <f>IF(AF84&lt;($C$8+$C$34),0,$C$33*12*(1-$C$35))</f>
        <v>0</v>
      </c>
      <c r="BG84" s="82">
        <f>IF(AF84&lt;$C$11,0,IF(AI84&lt;0,$C$42*(1+$C$44)^(AF84-$C$10),IF(((AL84+BE84+BF84)*$C$41)&lt;$C$42*(1+$C$44)^(AF84-$C$10),$C$42*(1+$C$44)^(AF84-$C$10),IF(((AL84+BE84+BF84)*$C$41)&lt;$C$43*(1+$C$44)^(AF84-$C$10),(AL84+BE84+BF84)*$C$41,IF(((AL84+BE84+BF84+BB84)*$C$41)&lt;$C$43*(1+$C$44)^(AF84-$C$10),((AL84+BE84+BF84+BB84)*$C$41),$C$43*(1+$C$44)^(AF84-$C$10))))))</f>
        <v>0</v>
      </c>
      <c r="BH84" s="82">
        <f t="shared" si="72"/>
        <v>19868.632031249996</v>
      </c>
      <c r="BI84" s="242">
        <f t="shared" si="73"/>
        <v>163742.52472012257</v>
      </c>
      <c r="BJ84" s="217">
        <f t="shared" si="74"/>
        <v>143873.89268887258</v>
      </c>
      <c r="BK84" s="218"/>
      <c r="BL84" s="219">
        <f t="shared" si="4"/>
        <v>0</v>
      </c>
      <c r="BM84" s="220">
        <f t="shared" si="5"/>
        <v>5</v>
      </c>
      <c r="BN84" s="220">
        <f t="shared" si="6"/>
        <v>13</v>
      </c>
      <c r="BO84" s="221">
        <f t="shared" si="7"/>
        <v>73382.607186484325</v>
      </c>
      <c r="BP84" s="221">
        <f t="shared" si="8"/>
        <v>24708.637094999984</v>
      </c>
      <c r="BQ84" s="222">
        <f t="shared" si="9"/>
        <v>1.9699172359989845</v>
      </c>
      <c r="BR84" s="223">
        <f>IF(BM84&lt;$C$11-$C$10+1,0,IF(BL84&lt;=$C$13,VLOOKUP(BL84,$BN$80:$BQ$156,2,FALSE)-BS84,0))</f>
        <v>0</v>
      </c>
      <c r="BS84" s="223">
        <f>IF(BM84&lt;$C$11-$C$10+1,0,IF(BL84&lt;=$C$13,VLOOKUP(BL84,$BN$80:$BQ$156,3,FALSE),0))</f>
        <v>0</v>
      </c>
      <c r="BT84" s="222">
        <f>IF(BM84&lt;$C$11-$C$10+1,0,IF(BL84&lt;=$C$13,VLOOKUP(BL84,$BN$80:$BQ$156,4,FALSE),0))</f>
        <v>0</v>
      </c>
      <c r="BU84" s="223">
        <f t="shared" si="43"/>
        <v>0</v>
      </c>
      <c r="BV84" s="223">
        <f t="shared" si="44"/>
        <v>0</v>
      </c>
      <c r="BW84" s="223">
        <f t="shared" si="45"/>
        <v>0</v>
      </c>
      <c r="BX84" s="223">
        <f>IF(AND(BS84&lt;=0,BN84=0),MIN((MAX($BZ$80:$BZ$156)-SUM($BX$80:BX83)),CA84),IF(BS84&lt;CA84,BS84,CA84))</f>
        <v>0</v>
      </c>
      <c r="BY84" s="222">
        <f>IF(BN84&gt;0,0,IF(AND(BN84=0,BT84&lt;=0),100%,((BW83*(AVERAGE($BT$80:BT83))+(BR84*BT84))/(BR84+BW83+BS84+BV83))))</f>
        <v>0</v>
      </c>
      <c r="BZ84" s="139">
        <f t="shared" si="46"/>
        <v>121781.29759499995</v>
      </c>
      <c r="CA84" s="122">
        <f t="shared" si="10"/>
        <v>0</v>
      </c>
      <c r="CB84" s="181">
        <f t="shared" si="47"/>
        <v>0</v>
      </c>
      <c r="CC84" s="122">
        <f t="shared" si="48"/>
        <v>0</v>
      </c>
      <c r="CD84" s="182">
        <f t="shared" si="11"/>
        <v>0</v>
      </c>
      <c r="CE84" s="122">
        <f t="shared" si="75"/>
        <v>0</v>
      </c>
      <c r="CF84" s="122">
        <f t="shared" si="76"/>
        <v>121781.29759499995</v>
      </c>
      <c r="CG84" s="122" t="str">
        <f t="shared" si="12"/>
        <v/>
      </c>
      <c r="CH84" s="140">
        <f t="shared" si="13"/>
        <v>0</v>
      </c>
      <c r="CI84" s="142">
        <f t="shared" si="77"/>
        <v>9984</v>
      </c>
      <c r="CJ84" s="134">
        <f>CI84*$C$57</f>
        <v>0</v>
      </c>
      <c r="CK84" s="142">
        <f t="shared" si="78"/>
        <v>14926</v>
      </c>
      <c r="CL84" s="134">
        <f>CK84*$C$57</f>
        <v>0</v>
      </c>
      <c r="CM84" s="142">
        <f t="shared" si="79"/>
        <v>58596</v>
      </c>
      <c r="CN84" s="134">
        <f>CM84*$C$57</f>
        <v>0</v>
      </c>
      <c r="CO84" s="132">
        <f t="shared" si="49"/>
        <v>0</v>
      </c>
      <c r="CP84" s="140">
        <f t="shared" si="14"/>
        <v>0</v>
      </c>
      <c r="CQ84" s="121" t="str">
        <f>IF($C$50="NEIN","NEIN",IF(CS84&lt;CR84,"JA","NEIN"))</f>
        <v>NEIN</v>
      </c>
      <c r="CR84" s="121">
        <f>CO84*$C$46</f>
        <v>0</v>
      </c>
      <c r="CS84" s="121">
        <f t="shared" si="15"/>
        <v>0</v>
      </c>
      <c r="CT84" s="201">
        <f>IF($C$50="NEIN",CR84,IF(CQ84="NEIN",CR84,CS84))</f>
        <v>0</v>
      </c>
      <c r="CU84" s="149"/>
      <c r="CV84" s="202">
        <f t="shared" si="80"/>
        <v>9984</v>
      </c>
      <c r="CW84" s="134">
        <f>CV84*$C$57</f>
        <v>0</v>
      </c>
      <c r="CX84" s="142">
        <f t="shared" si="81"/>
        <v>14926</v>
      </c>
      <c r="CY84" s="134">
        <f>CX84*$C$57</f>
        <v>0</v>
      </c>
      <c r="CZ84" s="142">
        <f t="shared" si="82"/>
        <v>58596</v>
      </c>
      <c r="DA84" s="143">
        <f>CZ84*$C$57</f>
        <v>0</v>
      </c>
      <c r="DB84" s="165">
        <f t="shared" si="16"/>
        <v>0</v>
      </c>
      <c r="DC84" s="140">
        <f t="shared" si="50"/>
        <v>0</v>
      </c>
      <c r="DD84" s="121" t="str">
        <f>IF($C$50="NEIN","NEIN",IF(DF84&lt;DE84,"JA","NEIN"))</f>
        <v>NEIN</v>
      </c>
      <c r="DE84" s="121">
        <f>DB84*$C$46</f>
        <v>0</v>
      </c>
      <c r="DF84" s="121">
        <f t="shared" si="17"/>
        <v>0</v>
      </c>
      <c r="DG84" s="201">
        <f>IF($C$50="NEIN",DE84,IF(DD84="NEIN",DE84,DF84))</f>
        <v>0</v>
      </c>
      <c r="DH84" s="159"/>
      <c r="DI84" s="125"/>
      <c r="DJ84" s="125"/>
      <c r="DK84" s="125"/>
      <c r="DL84" s="125"/>
      <c r="DM84" s="125"/>
      <c r="DN84" s="75"/>
      <c r="DO84" s="28">
        <f t="shared" si="83"/>
        <v>2025</v>
      </c>
      <c r="DP84" s="17">
        <f>IF($C$13+$C$10&gt;=DO84,-AG84,IF(DO84=$C$13+$C$10+1,$EK$93,0))</f>
        <v>-24708.637094999984</v>
      </c>
      <c r="DQ84" s="17">
        <f t="shared" si="84"/>
        <v>127017.64772319904</v>
      </c>
      <c r="DR84" s="17">
        <f t="shared" si="85"/>
        <v>112815.40135589946</v>
      </c>
      <c r="DS84" s="17">
        <f t="shared" si="51"/>
        <v>26797.183658889095</v>
      </c>
      <c r="DT84" s="17">
        <f t="shared" si="18"/>
        <v>149385.46596582377</v>
      </c>
      <c r="DU84" s="17">
        <f t="shared" si="86"/>
        <v>9772.8809510352148</v>
      </c>
      <c r="DV84" s="33">
        <f t="shared" si="19"/>
        <v>68.410166657246378</v>
      </c>
      <c r="DW84" s="32">
        <f t="shared" si="20"/>
        <v>2987.7093193164756</v>
      </c>
      <c r="DX84" s="17">
        <f t="shared" si="87"/>
        <v>0</v>
      </c>
      <c r="DY84" s="17">
        <f t="shared" si="88"/>
        <v>0</v>
      </c>
      <c r="DZ84" s="17">
        <f t="shared" si="21"/>
        <v>0</v>
      </c>
      <c r="EA84" s="17">
        <f t="shared" si="53"/>
        <v>340.34208307880425</v>
      </c>
      <c r="EB84" s="15">
        <f t="shared" si="54"/>
        <v>2647.3672362376715</v>
      </c>
      <c r="EC84" s="15">
        <f>IF(DP84=0,EC83,IF(DO84&lt;=$EK$88+$C$10,ABS(DP84)+EC83,EC83))</f>
        <v>121781.29759499995</v>
      </c>
      <c r="ED84" s="15">
        <f t="shared" si="89"/>
        <v>649.9108445919253</v>
      </c>
      <c r="EE84" s="16">
        <f t="shared" si="90"/>
        <v>149385.46596582377</v>
      </c>
      <c r="EF84" s="15">
        <f t="shared" si="22"/>
        <v>2088.546563889111</v>
      </c>
      <c r="EG84" s="15">
        <f t="shared" si="91"/>
        <v>5236.3501281991084</v>
      </c>
      <c r="EH84" s="16"/>
      <c r="EI84" s="16"/>
      <c r="EJ84" s="38" t="s">
        <v>2</v>
      </c>
      <c r="EK84" s="41">
        <f>$C$46</f>
        <v>0.26374999999999998</v>
      </c>
      <c r="EL84" s="110"/>
      <c r="EM84" s="28">
        <f t="shared" si="92"/>
        <v>2025</v>
      </c>
      <c r="EN84" s="29">
        <f>IF($C$13+$C$10&gt;=EM84,-(AG84),IF(EM84=$C$13+$C$10+1,$FB$93,0))</f>
        <v>-24708.637094999984</v>
      </c>
      <c r="EO84" s="30">
        <f t="shared" si="93"/>
        <v>121781.29759499995</v>
      </c>
      <c r="EP84" s="30">
        <f t="shared" si="94"/>
        <v>115220.21989499999</v>
      </c>
      <c r="EQ84" s="30">
        <f t="shared" si="56"/>
        <v>24708.637094999984</v>
      </c>
      <c r="ER84" s="25">
        <f t="shared" si="23"/>
        <v>149723.87697929997</v>
      </c>
      <c r="ES84" s="30">
        <f t="shared" si="95"/>
        <v>9795.0199892999954</v>
      </c>
      <c r="ET84" s="26">
        <f t="shared" si="24"/>
        <v>68.565139925099984</v>
      </c>
      <c r="EU84" s="30">
        <f t="shared" si="96"/>
        <v>68.565139925099984</v>
      </c>
      <c r="EV84" s="25">
        <f t="shared" si="25"/>
        <v>0</v>
      </c>
      <c r="EW84" s="31">
        <f t="shared" si="97"/>
        <v>195.59805569009995</v>
      </c>
      <c r="EX84" s="27">
        <f>IF(EM84=0,EX83,IF(EM84&lt;=$FB$88+$C$10,ABS(EN84)+EX83,EX83))</f>
        <v>121781.29759499995</v>
      </c>
      <c r="EY84" s="15"/>
      <c r="EZ84"/>
      <c r="FA84" s="38" t="s">
        <v>2</v>
      </c>
      <c r="FB84" s="41">
        <f>$C$46</f>
        <v>0.26374999999999998</v>
      </c>
      <c r="FC84" s="75"/>
      <c r="FD84" s="75"/>
      <c r="FE84" s="75"/>
      <c r="FF84" s="75"/>
      <c r="FG84" s="75"/>
      <c r="FH84" s="75"/>
      <c r="FI84" s="75"/>
      <c r="FJ84" s="28">
        <f t="shared" si="98"/>
        <v>2025</v>
      </c>
      <c r="FK84" s="65">
        <f>IF($C$13+$C$10&gt;=FJ84,-AG84,IF(FJ84=$C$13+$C$10+1,$EK$93,0))</f>
        <v>-24708.637094999984</v>
      </c>
      <c r="FL84" s="65">
        <f t="shared" si="99"/>
        <v>74118.803999999975</v>
      </c>
      <c r="FM84" s="65">
        <f t="shared" si="100"/>
        <v>85445.200612464003</v>
      </c>
      <c r="FN84" s="65">
        <f t="shared" si="59"/>
        <v>0</v>
      </c>
      <c r="FO84" s="65">
        <f t="shared" si="26"/>
        <v>91426.364655336482</v>
      </c>
      <c r="FP84" s="65">
        <f t="shared" si="101"/>
        <v>5981.1640428724786</v>
      </c>
      <c r="FQ84" s="59">
        <f t="shared" si="27"/>
        <v>41.868148300107357</v>
      </c>
      <c r="FR84" s="60">
        <f t="shared" si="28"/>
        <v>1828.5272931067298</v>
      </c>
      <c r="FS84" s="65">
        <f t="shared" si="102"/>
        <v>0</v>
      </c>
      <c r="FT84" s="65">
        <f t="shared" si="103"/>
        <v>0</v>
      </c>
      <c r="FU84" s="65">
        <f t="shared" si="29"/>
        <v>0</v>
      </c>
      <c r="FV84" s="65">
        <f t="shared" si="61"/>
        <v>126.32810148982992</v>
      </c>
      <c r="FW84" s="61">
        <f t="shared" si="62"/>
        <v>1702.1991916169</v>
      </c>
      <c r="FX84" s="61">
        <f>IF(AND(FJ84&lt;=$GF$88+$C$10,FV83&lt;=0,FN84&gt;0),(FJ84-$C$10+1)*AG84+$GF$80,FX83)</f>
        <v>73074.599999999977</v>
      </c>
      <c r="FY84" s="62">
        <f t="shared" si="63"/>
        <v>0.59796392656018804</v>
      </c>
      <c r="FZ84" s="63">
        <f t="shared" si="104"/>
        <v>91426.364655336482</v>
      </c>
      <c r="GA84" s="64">
        <f t="shared" si="105"/>
        <v>1743.7796043360001</v>
      </c>
      <c r="GB84" s="64">
        <f t="shared" si="106"/>
        <v>4987.3433643360004</v>
      </c>
      <c r="GC84" s="66">
        <f t="shared" si="30"/>
        <v>0</v>
      </c>
      <c r="GD84" s="64">
        <f t="shared" si="107"/>
        <v>1580.6039999999994</v>
      </c>
      <c r="GE84" s="38" t="s">
        <v>2</v>
      </c>
      <c r="GF84" s="41">
        <f>$C$46</f>
        <v>0.26374999999999998</v>
      </c>
      <c r="GG84" s="75"/>
      <c r="GH84" s="75"/>
      <c r="GI84" s="28">
        <f t="shared" si="108"/>
        <v>2025</v>
      </c>
      <c r="GJ84" s="9">
        <f>IF($GX$88+$C$10&gt;=GI84,-AG84,IF(GI84=$GX$88+$C$10+1,$FB$93,0))</f>
        <v>-24708.637094999984</v>
      </c>
      <c r="GK84" s="5">
        <f t="shared" si="109"/>
        <v>52441.033884890647</v>
      </c>
      <c r="GL84" s="5">
        <f t="shared" si="110"/>
        <v>27928.776268811689</v>
      </c>
      <c r="GM84" s="35">
        <f t="shared" si="65"/>
        <v>26339.373820580659</v>
      </c>
      <c r="GN84" s="4">
        <f t="shared" si="31"/>
        <v>58066.920595649819</v>
      </c>
      <c r="GO84" s="5">
        <f t="shared" si="111"/>
        <v>3798.7705062574678</v>
      </c>
      <c r="GP84" s="5">
        <f t="shared" si="32"/>
        <v>26.591393543802251</v>
      </c>
      <c r="GQ84" s="5">
        <f t="shared" si="112"/>
        <v>26.591393543802251</v>
      </c>
      <c r="GR84" s="4">
        <f t="shared" si="33"/>
        <v>4.9094360330244902</v>
      </c>
      <c r="GS84" s="7">
        <f t="shared" si="113"/>
        <v>39.381206975314143</v>
      </c>
      <c r="GT84" s="107" t="e">
        <f>IF($DG$62=0,EX84,IF(GI84-$C$10+1&lt;=$GF$98,0,#REF!-FX84))</f>
        <v>#REF!</v>
      </c>
      <c r="GU84"/>
      <c r="GV84"/>
      <c r="GW84" s="38" t="s">
        <v>2</v>
      </c>
      <c r="GX84" s="41">
        <f>$C$46</f>
        <v>0.26374999999999998</v>
      </c>
      <c r="GY84" s="75"/>
      <c r="GZ84" s="75"/>
      <c r="HA84" s="75"/>
      <c r="HB84" s="75"/>
      <c r="HC84" s="75"/>
      <c r="HD84" s="75"/>
    </row>
    <row r="85" spans="1:212" s="74" customFormat="1" ht="16.149999999999999" thickBot="1" x14ac:dyDescent="0.55000000000000004">
      <c r="A85" s="75"/>
      <c r="B85" s="331"/>
      <c r="C85" s="282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AB85" s="117" t="str">
        <f t="shared" si="34"/>
        <v/>
      </c>
      <c r="AC85" s="117" t="str">
        <f t="shared" si="35"/>
        <v/>
      </c>
      <c r="AD85" s="299">
        <f>IF($C$20="NEIN",$C$21,IF($C$22="JA",'HISTORISCHE RENDITEN'!E9,'HISTORISCHE RENDITEN'!D9))</f>
        <v>0.18559999999999999</v>
      </c>
      <c r="AE85" s="129">
        <f t="shared" si="36"/>
        <v>33</v>
      </c>
      <c r="AF85" s="120">
        <f t="shared" si="37"/>
        <v>2026</v>
      </c>
      <c r="AG85" s="122">
        <f t="shared" si="0"/>
        <v>24880.580331112476</v>
      </c>
      <c r="AH85" s="124">
        <f t="shared" si="38"/>
        <v>146661.87792611244</v>
      </c>
      <c r="AI85" s="296">
        <f t="shared" si="114"/>
        <v>143873.89268887258</v>
      </c>
      <c r="AJ85" s="123">
        <f t="shared" si="67"/>
        <v>24880.580331112476</v>
      </c>
      <c r="AK85" s="124">
        <f t="shared" si="68"/>
        <v>200075.3032124943</v>
      </c>
      <c r="AL85" s="122">
        <f t="shared" si="1"/>
        <v>31320.830192509224</v>
      </c>
      <c r="AM85" s="122">
        <f>IF($C$25="Ausschütter",0,IF(AL85&gt;=0,(AI85+AJ85)*$C$48*0.7))</f>
        <v>82.689691779792682</v>
      </c>
      <c r="AN85" s="122">
        <f t="shared" si="2"/>
        <v>0</v>
      </c>
      <c r="AO85" s="122">
        <f t="shared" si="39"/>
        <v>82.689691779792682</v>
      </c>
      <c r="AP85" s="122">
        <f t="shared" si="69"/>
        <v>225.01448284304774</v>
      </c>
      <c r="AQ85" s="122">
        <f>IF($C$25="AUSSCHÜTTER",0,IF(AO85*$C$46*$C$49&lt;=$C$47,0,AO85*$C$46*$C$49))</f>
        <v>0</v>
      </c>
      <c r="AR85" s="122">
        <f>IF(AO84*$C$49&gt;$C$47,(AN85)*$C$49*$C$46,IF((AO84+AN85)*$C$49&gt;$C$47,((AO84+AN85)*$C$49-$C$47)*$C$46,0))</f>
        <v>0</v>
      </c>
      <c r="AS85" s="122">
        <f t="shared" si="70"/>
        <v>0</v>
      </c>
      <c r="AT85" s="122">
        <f t="shared" si="40"/>
        <v>146661.87792611244</v>
      </c>
      <c r="AU85" s="122">
        <f t="shared" si="115"/>
        <v>0</v>
      </c>
      <c r="AV85" s="122">
        <f t="shared" si="71"/>
        <v>200075.3032124943</v>
      </c>
      <c r="AW85" s="122">
        <f t="shared" si="41"/>
        <v>0</v>
      </c>
      <c r="AX85" s="130">
        <f t="shared" si="42"/>
        <v>0</v>
      </c>
      <c r="AY85" s="82">
        <f>IF(AF85&lt;$C$11,$C$15*(1+$C$19)^(AF85-$C$10),0)</f>
        <v>45245.928163143719</v>
      </c>
      <c r="AZ85" s="82">
        <f>$C$14*(1+$C$37)^(AF85-$C$10)</f>
        <v>20365.347832031242</v>
      </c>
      <c r="BA85" s="165">
        <f>IF(AF85&lt;$C$11,0,MAX($C$38*AI85,AZ85))</f>
        <v>0</v>
      </c>
      <c r="BB85" s="82">
        <f>IF(AF85&lt;$C$11,0,MAX($C$38*AI85,AZ85))</f>
        <v>0</v>
      </c>
      <c r="BC85" s="136">
        <f>IF($C$39="JA",CT85,DG85)</f>
        <v>0</v>
      </c>
      <c r="BD85" s="82">
        <f t="shared" si="3"/>
        <v>0</v>
      </c>
      <c r="BE85" s="82">
        <f>IF(AF85&lt;($C$8+$C$30),0,$C$29*12*(1-$C$31))</f>
        <v>0</v>
      </c>
      <c r="BF85" s="82">
        <f>IF(AF85&lt;($C$8+$C$34),0,$C$33*12*(1-$C$35))</f>
        <v>0</v>
      </c>
      <c r="BG85" s="82">
        <f>IF(AF85&lt;$C$11,0,IF(AI85&lt;0,$C$42*(1+$C$44)^(AF85-$C$10),IF(((AL85+BE85+BF85)*$C$41)&lt;$C$42*(1+$C$44)^(AF85-$C$10),$C$42*(1+$C$44)^(AF85-$C$10),IF(((AL85+BE85+BF85)*$C$41)&lt;$C$43*(1+$C$44)^(AF85-$C$10),(AL85+BE85+BF85)*$C$41,IF(((AL85+BE85+BF85+BB85)*$C$41)&lt;$C$43*(1+$C$44)^(AF85-$C$10),((AL85+BE85+BF85+BB85)*$C$41),$C$43*(1+$C$44)^(AF85-$C$10))))))</f>
        <v>0</v>
      </c>
      <c r="BH85" s="82">
        <f t="shared" si="72"/>
        <v>20365.347832031242</v>
      </c>
      <c r="BI85" s="242">
        <f t="shared" si="73"/>
        <v>220440.65104452553</v>
      </c>
      <c r="BJ85" s="217">
        <f t="shared" si="74"/>
        <v>200075.3032124943</v>
      </c>
      <c r="BK85" s="118"/>
      <c r="BL85" s="219">
        <f t="shared" si="4"/>
        <v>0</v>
      </c>
      <c r="BM85" s="220">
        <f t="shared" si="5"/>
        <v>6</v>
      </c>
      <c r="BN85" s="220">
        <f t="shared" si="6"/>
        <v>12</v>
      </c>
      <c r="BO85" s="221">
        <f t="shared" si="7"/>
        <v>67957.892630300543</v>
      </c>
      <c r="BP85" s="221">
        <f t="shared" si="8"/>
        <v>24880.580331112476</v>
      </c>
      <c r="BQ85" s="222">
        <f t="shared" si="9"/>
        <v>1.7313628430652432</v>
      </c>
      <c r="BR85" s="223">
        <f>IF(BM85&lt;$C$11-$C$10+1,0,IF(BL85&lt;=$C$13,VLOOKUP(BL85,$BN$80:$BQ$156,2,FALSE)-BS85,0))</f>
        <v>0</v>
      </c>
      <c r="BS85" s="223">
        <f>IF(BM85&lt;$C$11-$C$10+1,0,IF(BL85&lt;=$C$13,VLOOKUP(BL85,$BN$80:$BQ$156,3,FALSE),0))</f>
        <v>0</v>
      </c>
      <c r="BT85" s="222">
        <f>IF(BM85&lt;$C$11-$C$10+1,0,IF(BL85&lt;=$C$13,VLOOKUP(BL85,$BN$80:$BQ$156,4,FALSE),0))</f>
        <v>0</v>
      </c>
      <c r="BU85" s="223">
        <f t="shared" si="43"/>
        <v>0</v>
      </c>
      <c r="BV85" s="223">
        <f t="shared" si="44"/>
        <v>0</v>
      </c>
      <c r="BW85" s="223">
        <f t="shared" si="45"/>
        <v>0</v>
      </c>
      <c r="BX85" s="223">
        <f>IF(AND(BS85&lt;=0,BN85=0),MIN((MAX($BZ$80:$BZ$156)-SUM($BX$80:BX84)),CA85),IF(BS85&lt;CA85,BS85,CA85))</f>
        <v>0</v>
      </c>
      <c r="BY85" s="222">
        <f>IF(BN85&gt;0,0,IF(AND(BN85=0,BT85&lt;=0),100%,((BW84*(AVERAGE($BT$80:BT84))+(BR85*BT85))/(BR85+BW84+BS85+BV84))))</f>
        <v>0</v>
      </c>
      <c r="BZ85" s="139">
        <f t="shared" si="46"/>
        <v>146661.87792611244</v>
      </c>
      <c r="CA85" s="122">
        <f t="shared" si="10"/>
        <v>0</v>
      </c>
      <c r="CB85" s="181">
        <f>BY85</f>
        <v>0</v>
      </c>
      <c r="CC85" s="122">
        <f t="shared" si="48"/>
        <v>0</v>
      </c>
      <c r="CD85" s="182">
        <f t="shared" si="11"/>
        <v>0</v>
      </c>
      <c r="CE85" s="122">
        <f t="shared" si="75"/>
        <v>0</v>
      </c>
      <c r="CF85" s="122">
        <f t="shared" si="76"/>
        <v>146661.87792611244</v>
      </c>
      <c r="CG85" s="122" t="str">
        <f t="shared" si="12"/>
        <v/>
      </c>
      <c r="CH85" s="140">
        <f t="shared" si="13"/>
        <v>0</v>
      </c>
      <c r="CI85" s="142">
        <f t="shared" si="77"/>
        <v>9984</v>
      </c>
      <c r="CJ85" s="134">
        <f>CI85*$C$57</f>
        <v>0</v>
      </c>
      <c r="CK85" s="142">
        <f t="shared" si="78"/>
        <v>14926</v>
      </c>
      <c r="CL85" s="134">
        <f>CK85*$C$57</f>
        <v>0</v>
      </c>
      <c r="CM85" s="142">
        <f t="shared" si="79"/>
        <v>58596</v>
      </c>
      <c r="CN85" s="134">
        <f>CM85*$C$57</f>
        <v>0</v>
      </c>
      <c r="CO85" s="132">
        <f t="shared" si="49"/>
        <v>0</v>
      </c>
      <c r="CP85" s="140">
        <f t="shared" si="14"/>
        <v>0</v>
      </c>
      <c r="CQ85" s="121" t="str">
        <f>IF($C$50="NEIN","NEIN",IF(CS85&lt;CR85,"JA","NEIN"))</f>
        <v>NEIN</v>
      </c>
      <c r="CR85" s="121">
        <f>CO85*$C$46</f>
        <v>0</v>
      </c>
      <c r="CS85" s="121">
        <f t="shared" si="15"/>
        <v>0</v>
      </c>
      <c r="CT85" s="201">
        <f>IF($C$50="NEIN",CR85,IF(CQ85="NEIN",CR85,CS85))</f>
        <v>0</v>
      </c>
      <c r="CU85" s="149"/>
      <c r="CV85" s="202">
        <f t="shared" si="80"/>
        <v>9984</v>
      </c>
      <c r="CW85" s="134">
        <f>CV85*$C$57</f>
        <v>0</v>
      </c>
      <c r="CX85" s="142">
        <f t="shared" si="81"/>
        <v>14926</v>
      </c>
      <c r="CY85" s="134">
        <f>CX85*$C$57</f>
        <v>0</v>
      </c>
      <c r="CZ85" s="142">
        <f t="shared" si="82"/>
        <v>58596</v>
      </c>
      <c r="DA85" s="143">
        <f>CZ85*$C$57</f>
        <v>0</v>
      </c>
      <c r="DB85" s="165">
        <f t="shared" si="16"/>
        <v>0</v>
      </c>
      <c r="DC85" s="140">
        <f t="shared" si="50"/>
        <v>0</v>
      </c>
      <c r="DD85" s="121" t="str">
        <f>IF($C$50="NEIN","NEIN",IF(DF85&lt;DE85,"JA","NEIN"))</f>
        <v>NEIN</v>
      </c>
      <c r="DE85" s="121">
        <f>DB85*$C$46</f>
        <v>0</v>
      </c>
      <c r="DF85" s="121">
        <f t="shared" si="17"/>
        <v>0</v>
      </c>
      <c r="DG85" s="201">
        <f>IF($C$50="NEIN",DE85,IF(DD85="NEIN",DE85,DF85))</f>
        <v>0</v>
      </c>
      <c r="DH85" s="159"/>
      <c r="DK85" s="128"/>
      <c r="DL85" s="128"/>
      <c r="DM85" s="128"/>
      <c r="DO85" s="28">
        <f t="shared" si="83"/>
        <v>2026</v>
      </c>
      <c r="DP85" s="17">
        <f>IF($C$13+$C$10&gt;=DO85,-AG85,IF(DO85=$C$13+$C$10+1,$EK$93,0))</f>
        <v>-24880.580331112476</v>
      </c>
      <c r="DQ85" s="17">
        <f t="shared" si="84"/>
        <v>154545.59529054919</v>
      </c>
      <c r="DR85" s="17">
        <f t="shared" si="85"/>
        <v>146397.7566465073</v>
      </c>
      <c r="DS85" s="17">
        <f t="shared" si="51"/>
        <v>27527.947567350147</v>
      </c>
      <c r="DT85" s="17">
        <f t="shared" si="18"/>
        <v>186100.50350882747</v>
      </c>
      <c r="DU85" s="17">
        <f t="shared" si="86"/>
        <v>12174.799294970027</v>
      </c>
      <c r="DV85" s="33">
        <f t="shared" si="19"/>
        <v>85.223595064790132</v>
      </c>
      <c r="DW85" s="32">
        <f t="shared" si="20"/>
        <v>3722.0100701765496</v>
      </c>
      <c r="DX85" s="17">
        <f t="shared" si="87"/>
        <v>0</v>
      </c>
      <c r="DY85" s="17">
        <f t="shared" si="88"/>
        <v>0</v>
      </c>
      <c r="DZ85" s="17">
        <f t="shared" si="21"/>
        <v>0</v>
      </c>
      <c r="EA85" s="17">
        <f t="shared" si="53"/>
        <v>475.91235920634534</v>
      </c>
      <c r="EB85" s="15">
        <f t="shared" si="54"/>
        <v>3246.0977109702044</v>
      </c>
      <c r="EC85" s="15">
        <f>IF(DP85=0,EC84,IF(DO85&lt;=$EK$88+$C$10,ABS(DP85)+EC84,EC84))</f>
        <v>146661.87792611244</v>
      </c>
      <c r="ED85" s="15">
        <f t="shared" si="89"/>
        <v>1125.8232037982707</v>
      </c>
      <c r="EE85" s="16">
        <f t="shared" si="90"/>
        <v>186100.50350882747</v>
      </c>
      <c r="EF85" s="15">
        <f t="shared" si="22"/>
        <v>2647.367236237671</v>
      </c>
      <c r="EG85" s="15">
        <f t="shared" si="91"/>
        <v>7883.7173644367795</v>
      </c>
      <c r="EH85" s="16"/>
      <c r="EI85" s="16"/>
      <c r="EJ85" s="38" t="s">
        <v>33</v>
      </c>
      <c r="EK85" s="41">
        <f>$C$48</f>
        <v>6.9999999999999999E-4</v>
      </c>
      <c r="EL85" s="110"/>
      <c r="EM85" s="28">
        <f t="shared" si="92"/>
        <v>2026</v>
      </c>
      <c r="EN85" s="29">
        <f>IF($C$13+$C$10&gt;=EM85,-(AG85),IF(EM85=$C$13+$C$10+1,$FB$93,0))</f>
        <v>-24880.580331112476</v>
      </c>
      <c r="EO85" s="30">
        <f t="shared" si="93"/>
        <v>146661.87792611244</v>
      </c>
      <c r="EP85" s="30">
        <f t="shared" si="94"/>
        <v>149723.87697929997</v>
      </c>
      <c r="EQ85" s="30">
        <f t="shared" si="56"/>
        <v>24880.580331112476</v>
      </c>
      <c r="ER85" s="25">
        <f t="shared" si="23"/>
        <v>186826.76932214131</v>
      </c>
      <c r="ES85" s="30">
        <f t="shared" si="95"/>
        <v>12222.312011728878</v>
      </c>
      <c r="ET85" s="26">
        <f t="shared" si="24"/>
        <v>85.556184082102092</v>
      </c>
      <c r="EU85" s="30">
        <f t="shared" si="96"/>
        <v>85.556184082102092</v>
      </c>
      <c r="EV85" s="25">
        <f t="shared" si="25"/>
        <v>0</v>
      </c>
      <c r="EW85" s="31">
        <f t="shared" si="97"/>
        <v>281.15423977220206</v>
      </c>
      <c r="EX85" s="27">
        <f>IF(EM85=0,EX84,IF(EM85&lt;=$FB$88+$C$10,ABS(EN85)+EX84,EX84))</f>
        <v>146661.87792611244</v>
      </c>
      <c r="EY85" s="15"/>
      <c r="EZ85"/>
      <c r="FA85" s="38" t="s">
        <v>33</v>
      </c>
      <c r="FB85" s="41">
        <f>$C$48</f>
        <v>6.9999999999999999E-4</v>
      </c>
      <c r="FJ85" s="28">
        <f t="shared" si="98"/>
        <v>2026</v>
      </c>
      <c r="FK85" s="65">
        <f>IF($C$13+$C$10&gt;=FJ85,-AG85,IF(FJ85=$C$13+$C$10+1,$EK$93,0))</f>
        <v>-24880.580331112476</v>
      </c>
      <c r="FL85" s="65">
        <f t="shared" si="99"/>
        <v>74118.803999999975</v>
      </c>
      <c r="FM85" s="65">
        <f t="shared" si="100"/>
        <v>89597.837362229751</v>
      </c>
      <c r="FN85" s="65">
        <f t="shared" si="59"/>
        <v>0</v>
      </c>
      <c r="FO85" s="65">
        <f t="shared" si="26"/>
        <v>95869.685977585847</v>
      </c>
      <c r="FP85" s="65">
        <f t="shared" si="101"/>
        <v>6271.8486153560953</v>
      </c>
      <c r="FQ85" s="59">
        <f t="shared" si="27"/>
        <v>43.902940307492578</v>
      </c>
      <c r="FR85" s="60">
        <f t="shared" si="28"/>
        <v>1917.3937195517169</v>
      </c>
      <c r="FS85" s="65">
        <f t="shared" si="102"/>
        <v>0</v>
      </c>
      <c r="FT85" s="65">
        <f t="shared" si="103"/>
        <v>0</v>
      </c>
      <c r="FU85" s="65">
        <f t="shared" si="29"/>
        <v>0</v>
      </c>
      <c r="FV85" s="65">
        <f t="shared" si="61"/>
        <v>142.73506547223573</v>
      </c>
      <c r="FW85" s="61">
        <f t="shared" si="62"/>
        <v>1774.6586540794813</v>
      </c>
      <c r="FX85" s="61">
        <f>IF(AND(FJ85&lt;=$GF$88+$C$10,FV84&lt;=0,FN85&gt;0),(FJ85-$C$10+1)*AG85+$GF$80,FX84)</f>
        <v>73074.599999999977</v>
      </c>
      <c r="FY85" s="62">
        <f t="shared" si="63"/>
        <v>0.67562497339101357</v>
      </c>
      <c r="FZ85" s="63">
        <f t="shared" si="104"/>
        <v>95869.685977585847</v>
      </c>
      <c r="GA85" s="64">
        <f t="shared" si="105"/>
        <v>1828.5272931067298</v>
      </c>
      <c r="GB85" s="64">
        <f t="shared" si="106"/>
        <v>6815.8706574427306</v>
      </c>
      <c r="GC85" s="66">
        <f t="shared" si="30"/>
        <v>0</v>
      </c>
      <c r="GD85" s="64">
        <f t="shared" si="107"/>
        <v>1580.6039999999994</v>
      </c>
      <c r="GE85" s="38" t="s">
        <v>33</v>
      </c>
      <c r="GF85" s="41">
        <f>$C$48</f>
        <v>6.9999999999999999E-4</v>
      </c>
      <c r="GI85" s="28">
        <f t="shared" si="108"/>
        <v>2026</v>
      </c>
      <c r="GJ85" s="9">
        <f>IF($GX$88+$C$10&gt;=GI85,-AG85,IF(GI85=$GX$88+$C$10+1,$FB$93,0))</f>
        <v>-24880.580331112476</v>
      </c>
      <c r="GK85" s="5">
        <f t="shared" si="109"/>
        <v>79018.903971587002</v>
      </c>
      <c r="GL85" s="5">
        <f t="shared" si="110"/>
        <v>58066.920595649819</v>
      </c>
      <c r="GM85" s="35">
        <f t="shared" si="65"/>
        <v>26577.870086696352</v>
      </c>
      <c r="GN85" s="4">
        <f t="shared" si="31"/>
        <v>90569.926030110408</v>
      </c>
      <c r="GO85" s="5">
        <f t="shared" si="111"/>
        <v>5925.1353477642406</v>
      </c>
      <c r="GP85" s="5">
        <f t="shared" si="32"/>
        <v>41.475947434349621</v>
      </c>
      <c r="GQ85" s="5">
        <f t="shared" si="112"/>
        <v>41.475947434349621</v>
      </c>
      <c r="GR85" s="4">
        <f t="shared" si="33"/>
        <v>7.6574967950667983</v>
      </c>
      <c r="GS85" s="7">
        <f t="shared" si="113"/>
        <v>80.857154409663764</v>
      </c>
      <c r="GT85" s="107" t="e">
        <f>IF($DG$62=0,EX85,IF(GI85-$C$10+1&lt;=$GF$98,0,#REF!-FX85))</f>
        <v>#REF!</v>
      </c>
      <c r="GU85"/>
      <c r="GV85"/>
      <c r="GW85" s="38" t="s">
        <v>33</v>
      </c>
      <c r="GX85" s="41">
        <f>$C$48</f>
        <v>6.9999999999999999E-4</v>
      </c>
    </row>
    <row r="86" spans="1:212" s="74" customFormat="1" ht="16.149999999999999" thickBot="1" x14ac:dyDescent="0.55000000000000004">
      <c r="A86" s="75"/>
      <c r="B86" s="331"/>
      <c r="C86" s="282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AB86" s="117" t="str">
        <f t="shared" si="34"/>
        <v/>
      </c>
      <c r="AC86" s="117" t="str">
        <f t="shared" si="35"/>
        <v/>
      </c>
      <c r="AD86" s="299">
        <f>IF($C$20="NEIN",$C$21,IF($C$22="JA",'HISTORISCHE RENDITEN'!E10,'HISTORISCHE RENDITEN'!D10))</f>
        <v>1.77E-2</v>
      </c>
      <c r="AE86" s="129">
        <f>AE85+1</f>
        <v>34</v>
      </c>
      <c r="AF86" s="120">
        <f t="shared" si="37"/>
        <v>2027</v>
      </c>
      <c r="AG86" s="122">
        <f t="shared" si="0"/>
        <v>25050.13555775884</v>
      </c>
      <c r="AH86" s="124">
        <f t="shared" si="38"/>
        <v>171712.0134838713</v>
      </c>
      <c r="AI86" s="296">
        <f t="shared" si="114"/>
        <v>200075.3032124943</v>
      </c>
      <c r="AJ86" s="123">
        <f t="shared" si="67"/>
        <v>25050.13555775884</v>
      </c>
      <c r="AK86" s="124">
        <f t="shared" si="68"/>
        <v>229110.15903648664</v>
      </c>
      <c r="AL86" s="122">
        <f t="shared" si="1"/>
        <v>3984.7202662334894</v>
      </c>
      <c r="AM86" s="122">
        <f>IF($C$25="Ausschütter",0,IF(AL86&gt;=0,(AI86+AJ86)*$C$48*0.7))</f>
        <v>110.31146499742404</v>
      </c>
      <c r="AN86" s="122">
        <f t="shared" si="2"/>
        <v>0</v>
      </c>
      <c r="AO86" s="122">
        <f t="shared" si="39"/>
        <v>110.31146499742404</v>
      </c>
      <c r="AP86" s="122">
        <f t="shared" si="69"/>
        <v>335.32594784047177</v>
      </c>
      <c r="AQ86" s="122">
        <f>IF($C$25="AUSSCHÜTTER",0,IF(AO86*$C$46*$C$49&lt;=$C$47,0,AO86*$C$46*$C$49))</f>
        <v>0</v>
      </c>
      <c r="AR86" s="122">
        <f>IF(AO85*$C$49&gt;$C$47,(AN86)*$C$49*$C$46,IF((AO85+AN86)*$C$49&gt;$C$47,((AO85+AN86)*$C$49-$C$47)*$C$46,0))</f>
        <v>0</v>
      </c>
      <c r="AS86" s="122">
        <f t="shared" si="70"/>
        <v>0</v>
      </c>
      <c r="AT86" s="122">
        <f t="shared" si="40"/>
        <v>171712.0134838713</v>
      </c>
      <c r="AU86" s="122">
        <f t="shared" si="115"/>
        <v>0</v>
      </c>
      <c r="AV86" s="122">
        <f t="shared" si="71"/>
        <v>229110.15903648664</v>
      </c>
      <c r="AW86" s="122">
        <f t="shared" si="41"/>
        <v>0</v>
      </c>
      <c r="AX86" s="130">
        <f t="shared" si="42"/>
        <v>0</v>
      </c>
      <c r="AY86" s="82">
        <f>IF(AF86&lt;$C$11,$C$15*(1+$C$19)^(AF86-$C$10),0)</f>
        <v>45924.617085590864</v>
      </c>
      <c r="AZ86" s="82">
        <f>$C$14*(1+$C$37)^(AF86-$C$10)</f>
        <v>20874.481527832024</v>
      </c>
      <c r="BA86" s="165">
        <f>IF(AF86&lt;$C$11,0,MAX($C$38*AI86,AZ86))</f>
        <v>0</v>
      </c>
      <c r="BB86" s="82">
        <f>IF(AF86&lt;$C$11,0,MAX($C$38*AI86,AZ86))</f>
        <v>0</v>
      </c>
      <c r="BC86" s="136">
        <f>IF($C$39="JA",CT86,DG86)</f>
        <v>0</v>
      </c>
      <c r="BD86" s="82">
        <f t="shared" si="3"/>
        <v>0</v>
      </c>
      <c r="BE86" s="82">
        <f>IF(AF86&lt;($C$8+$C$30),0,$C$29*12*(1-$C$31))</f>
        <v>0</v>
      </c>
      <c r="BF86" s="82">
        <f>IF(AF86&lt;($C$8+$C$34),0,$C$33*12*(1-$C$35))</f>
        <v>0</v>
      </c>
      <c r="BG86" s="82">
        <f>IF(AF86&lt;$C$11,0,IF(AI86&lt;0,$C$42*(1+$C$44)^(AF86-$C$10),IF(((AL86+BE86+BF86)*$C$41)&lt;$C$42*(1+$C$44)^(AF86-$C$10),$C$42*(1+$C$44)^(AF86-$C$10),IF(((AL86+BE86+BF86)*$C$41)&lt;$C$43*(1+$C$44)^(AF86-$C$10),(AL86+BE86+BF86)*$C$41,IF(((AL86+BE86+BF86+BB86)*$C$41)&lt;$C$43*(1+$C$44)^(AF86-$C$10),((AL86+BE86+BF86+BB86)*$C$41),$C$43*(1+$C$44)^(AF86-$C$10))))))</f>
        <v>0</v>
      </c>
      <c r="BH86" s="82">
        <f t="shared" si="72"/>
        <v>20874.481527832024</v>
      </c>
      <c r="BI86" s="242">
        <f t="shared" si="73"/>
        <v>249984.64056431866</v>
      </c>
      <c r="BJ86" s="217">
        <f t="shared" si="74"/>
        <v>229110.15903648664</v>
      </c>
      <c r="BK86" s="118"/>
      <c r="BL86" s="219">
        <f t="shared" si="4"/>
        <v>0</v>
      </c>
      <c r="BM86" s="220">
        <f t="shared" si="5"/>
        <v>7</v>
      </c>
      <c r="BN86" s="220">
        <f t="shared" si="6"/>
        <v>11</v>
      </c>
      <c r="BO86" s="221">
        <f t="shared" si="7"/>
        <v>62925.188858158006</v>
      </c>
      <c r="BP86" s="221">
        <f t="shared" si="8"/>
        <v>25050.13555775884</v>
      </c>
      <c r="BQ86" s="222">
        <f t="shared" si="9"/>
        <v>1.5119699936580995</v>
      </c>
      <c r="BR86" s="223">
        <f>IF(BM86&lt;$C$11-$C$10+1,0,IF(BL86&lt;=$C$13,VLOOKUP(BL86,$BN$80:$BQ$156,2,FALSE)-BS86,0))</f>
        <v>0</v>
      </c>
      <c r="BS86" s="223">
        <f>IF(BM86&lt;$C$11-$C$10+1,0,IF(BL86&lt;=$C$13,VLOOKUP(BL86,$BN$80:$BQ$156,3,FALSE),0))</f>
        <v>0</v>
      </c>
      <c r="BT86" s="222">
        <f>IF(BM86&lt;$C$11-$C$10+1,0,IF(BL86&lt;=$C$13,VLOOKUP(BL86,$BN$80:$BQ$156,4,FALSE),0))</f>
        <v>0</v>
      </c>
      <c r="BU86" s="223">
        <f t="shared" si="43"/>
        <v>0</v>
      </c>
      <c r="BV86" s="223">
        <f t="shared" si="44"/>
        <v>0</v>
      </c>
      <c r="BW86" s="223">
        <f t="shared" si="45"/>
        <v>0</v>
      </c>
      <c r="BX86" s="223">
        <f>IF(AND(BS86&lt;=0,BN86=0),MIN((MAX($BZ$80:$BZ$156)-SUM($BX$80:BX85)),CA86),IF(BS86&lt;CA86,BS86,CA86))</f>
        <v>0</v>
      </c>
      <c r="BY86" s="222">
        <f>IF(BN86&gt;0,0,IF(AND(BN86=0,BT86&lt;=0),100%,((BW85*(AVERAGE($BT$80:BT85))+(BR86*BT86))/(BR86+BW85+BS86+BV85))))</f>
        <v>0</v>
      </c>
      <c r="BZ86" s="139">
        <f t="shared" si="46"/>
        <v>171712.0134838713</v>
      </c>
      <c r="CA86" s="122">
        <f t="shared" si="10"/>
        <v>0</v>
      </c>
      <c r="CB86" s="181">
        <f t="shared" si="47"/>
        <v>0</v>
      </c>
      <c r="CC86" s="122">
        <f t="shared" si="48"/>
        <v>0</v>
      </c>
      <c r="CD86" s="182">
        <f t="shared" si="11"/>
        <v>0</v>
      </c>
      <c r="CE86" s="122">
        <f t="shared" si="75"/>
        <v>0</v>
      </c>
      <c r="CF86" s="122">
        <f t="shared" si="76"/>
        <v>171712.0134838713</v>
      </c>
      <c r="CG86" s="122" t="str">
        <f t="shared" si="12"/>
        <v/>
      </c>
      <c r="CH86" s="140">
        <f t="shared" si="13"/>
        <v>0</v>
      </c>
      <c r="CI86" s="142">
        <f t="shared" si="77"/>
        <v>9984</v>
      </c>
      <c r="CJ86" s="134">
        <f>CI86*$C$57</f>
        <v>0</v>
      </c>
      <c r="CK86" s="142">
        <f t="shared" si="78"/>
        <v>14926</v>
      </c>
      <c r="CL86" s="134">
        <f>CK86*$C$57</f>
        <v>0</v>
      </c>
      <c r="CM86" s="142">
        <f t="shared" si="79"/>
        <v>58596</v>
      </c>
      <c r="CN86" s="134">
        <f>CM86*$C$57</f>
        <v>0</v>
      </c>
      <c r="CO86" s="132">
        <f t="shared" si="49"/>
        <v>0</v>
      </c>
      <c r="CP86" s="140">
        <f t="shared" si="14"/>
        <v>0</v>
      </c>
      <c r="CQ86" s="121" t="str">
        <f>IF($C$50="NEIN","NEIN",IF(CS86&lt;CR86,"JA","NEIN"))</f>
        <v>NEIN</v>
      </c>
      <c r="CR86" s="121">
        <f>CO86*$C$46</f>
        <v>0</v>
      </c>
      <c r="CS86" s="121">
        <f t="shared" si="15"/>
        <v>0</v>
      </c>
      <c r="CT86" s="201">
        <f>IF($C$50="NEIN",CR86,IF(CQ86="NEIN",CR86,CS86))</f>
        <v>0</v>
      </c>
      <c r="CU86" s="149"/>
      <c r="CV86" s="202">
        <f t="shared" si="80"/>
        <v>9984</v>
      </c>
      <c r="CW86" s="134">
        <f>CV86*$C$57</f>
        <v>0</v>
      </c>
      <c r="CX86" s="142">
        <f t="shared" si="81"/>
        <v>14926</v>
      </c>
      <c r="CY86" s="134">
        <f>CX86*$C$57</f>
        <v>0</v>
      </c>
      <c r="CZ86" s="142">
        <f t="shared" si="82"/>
        <v>58596</v>
      </c>
      <c r="DA86" s="143">
        <f>CZ86*$C$57</f>
        <v>0</v>
      </c>
      <c r="DB86" s="165">
        <f t="shared" si="16"/>
        <v>0</v>
      </c>
      <c r="DC86" s="140">
        <f t="shared" si="50"/>
        <v>0</v>
      </c>
      <c r="DD86" s="121" t="str">
        <f>IF($C$50="NEIN","NEIN",IF(DF86&lt;DE86,"JA","NEIN"))</f>
        <v>NEIN</v>
      </c>
      <c r="DE86" s="121">
        <f>DB86*$C$46</f>
        <v>0</v>
      </c>
      <c r="DF86" s="121">
        <f t="shared" si="17"/>
        <v>0</v>
      </c>
      <c r="DG86" s="201">
        <f>IF($C$50="NEIN",DE86,IF(DD86="NEIN",DE86,DF86))</f>
        <v>0</v>
      </c>
      <c r="DH86" s="159"/>
      <c r="DK86" s="128"/>
      <c r="DL86" s="128"/>
      <c r="DM86" s="128"/>
      <c r="DO86" s="28">
        <f t="shared" si="83"/>
        <v>2027</v>
      </c>
      <c r="DP86" s="17">
        <f>IF($C$13+$C$10&gt;=DO86,-AG86,IF(DO86=$C$13+$C$10+1,$EK$93,0))</f>
        <v>-25050.13555775884</v>
      </c>
      <c r="DQ86" s="17">
        <f t="shared" si="84"/>
        <v>182841.82855927822</v>
      </c>
      <c r="DR86" s="17">
        <f t="shared" si="85"/>
        <v>182378.49343865091</v>
      </c>
      <c r="DS86" s="17">
        <f t="shared" si="51"/>
        <v>28296.233268729044</v>
      </c>
      <c r="DT86" s="17">
        <f t="shared" si="18"/>
        <v>225421.95757689656</v>
      </c>
      <c r="DU86" s="17">
        <f t="shared" si="86"/>
        <v>14747.230869516614</v>
      </c>
      <c r="DV86" s="33">
        <f t="shared" si="19"/>
        <v>103.23061608661617</v>
      </c>
      <c r="DW86" s="32">
        <f t="shared" si="20"/>
        <v>4508.4391515379311</v>
      </c>
      <c r="DX86" s="17">
        <f t="shared" si="87"/>
        <v>0</v>
      </c>
      <c r="DY86" s="17">
        <f t="shared" si="88"/>
        <v>0</v>
      </c>
      <c r="DZ86" s="17">
        <f t="shared" si="21"/>
        <v>0</v>
      </c>
      <c r="EA86" s="17">
        <f t="shared" si="53"/>
        <v>621.1068283526904</v>
      </c>
      <c r="EB86" s="15">
        <f t="shared" si="54"/>
        <v>3887.332323185241</v>
      </c>
      <c r="EC86" s="15">
        <f>IF(DP86=0,EC85,IF(DO86&lt;=$EK$88+$C$10,ABS(DP86)+EC85,EC85))</f>
        <v>171712.0134838713</v>
      </c>
      <c r="ED86" s="15">
        <f t="shared" si="89"/>
        <v>1746.9300321509611</v>
      </c>
      <c r="EE86" s="16">
        <f t="shared" si="90"/>
        <v>225421.95757689656</v>
      </c>
      <c r="EF86" s="15">
        <f t="shared" si="22"/>
        <v>3246.0977109702035</v>
      </c>
      <c r="EG86" s="15">
        <f t="shared" si="91"/>
        <v>11129.815075406983</v>
      </c>
      <c r="EH86" s="16"/>
      <c r="EI86" s="16"/>
      <c r="EJ86" s="42" t="s">
        <v>30</v>
      </c>
      <c r="EK86" s="43">
        <f>$C$49</f>
        <v>0.7</v>
      </c>
      <c r="EL86" s="111"/>
      <c r="EM86" s="28">
        <f t="shared" si="92"/>
        <v>2027</v>
      </c>
      <c r="EN86" s="29">
        <f>IF($C$13+$C$10&gt;=EM86,-(AG86),IF(EM86=$C$13+$C$10+1,$FB$93,0))</f>
        <v>-25050.13555775884</v>
      </c>
      <c r="EO86" s="30">
        <f t="shared" si="93"/>
        <v>171712.0134838713</v>
      </c>
      <c r="EP86" s="30">
        <f t="shared" si="94"/>
        <v>186826.76932214131</v>
      </c>
      <c r="EQ86" s="30">
        <f t="shared" si="56"/>
        <v>25050.13555775884</v>
      </c>
      <c r="ER86" s="25">
        <f t="shared" si="23"/>
        <v>226708.28822149319</v>
      </c>
      <c r="ES86" s="30">
        <f t="shared" si="95"/>
        <v>14831.383341593028</v>
      </c>
      <c r="ET86" s="26">
        <f t="shared" si="24"/>
        <v>103.81968339115107</v>
      </c>
      <c r="EU86" s="30">
        <f t="shared" si="96"/>
        <v>103.81968339115107</v>
      </c>
      <c r="EV86" s="25">
        <f t="shared" si="25"/>
        <v>0</v>
      </c>
      <c r="EW86" s="31">
        <f t="shared" si="97"/>
        <v>384.97392316335311</v>
      </c>
      <c r="EX86" s="27">
        <f>IF(EM86=0,EX85,IF(EM86&lt;=$FB$88+$C$10,ABS(EN86)+EX85,EX85))</f>
        <v>171712.0134838713</v>
      </c>
      <c r="EY86" s="15"/>
      <c r="EZ86"/>
      <c r="FA86" s="42" t="s">
        <v>30</v>
      </c>
      <c r="FB86" s="43">
        <f>$C$49</f>
        <v>0.7</v>
      </c>
      <c r="FJ86" s="28">
        <f t="shared" si="98"/>
        <v>2027</v>
      </c>
      <c r="FK86" s="65">
        <f>IF($C$13+$C$10&gt;=FJ86,-AG86,IF(FJ86=$C$13+$C$10+1,$EK$93,0))</f>
        <v>-25050.13555775884</v>
      </c>
      <c r="FL86" s="65">
        <f t="shared" si="99"/>
        <v>74118.803999999975</v>
      </c>
      <c r="FM86" s="65">
        <f t="shared" si="100"/>
        <v>93952.292258034126</v>
      </c>
      <c r="FN86" s="65">
        <f t="shared" si="59"/>
        <v>0</v>
      </c>
      <c r="FO86" s="65">
        <f t="shared" si="26"/>
        <v>100528.95271609652</v>
      </c>
      <c r="FP86" s="65">
        <f t="shared" si="101"/>
        <v>6576.6604580623971</v>
      </c>
      <c r="FQ86" s="59">
        <f t="shared" si="27"/>
        <v>46.036623206436722</v>
      </c>
      <c r="FR86" s="60">
        <f t="shared" si="28"/>
        <v>2010.5790543219305</v>
      </c>
      <c r="FS86" s="65">
        <f t="shared" si="102"/>
        <v>0</v>
      </c>
      <c r="FT86" s="65">
        <f t="shared" si="103"/>
        <v>0</v>
      </c>
      <c r="FU86" s="65">
        <f t="shared" si="29"/>
        <v>0</v>
      </c>
      <c r="FV86" s="65">
        <f t="shared" si="61"/>
        <v>159.9394079041864</v>
      </c>
      <c r="FW86" s="61">
        <f t="shared" si="62"/>
        <v>1850.6396464177442</v>
      </c>
      <c r="FX86" s="61">
        <f>IF(AND(FJ86&lt;=$GF$88+$C$10,FV85&lt;=0,FN86&gt;0),(FJ86-$C$10+1)*AG86+$GF$80,FX85)</f>
        <v>73074.599999999977</v>
      </c>
      <c r="FY86" s="62">
        <f t="shared" si="63"/>
        <v>0.75706034709781689</v>
      </c>
      <c r="FZ86" s="63">
        <f t="shared" si="104"/>
        <v>100528.95271609652</v>
      </c>
      <c r="GA86" s="64">
        <f t="shared" si="105"/>
        <v>1917.3937195517169</v>
      </c>
      <c r="GB86" s="64">
        <f t="shared" si="106"/>
        <v>8733.264376994448</v>
      </c>
      <c r="GC86" s="66">
        <f t="shared" si="30"/>
        <v>0</v>
      </c>
      <c r="GD86" s="64">
        <f t="shared" si="107"/>
        <v>1580.6039999999994</v>
      </c>
      <c r="GE86" s="42" t="s">
        <v>30</v>
      </c>
      <c r="GF86" s="43">
        <f>$C$49</f>
        <v>0.7</v>
      </c>
      <c r="GI86" s="28">
        <f t="shared" si="108"/>
        <v>2027</v>
      </c>
      <c r="GJ86" s="9">
        <f>IF($GX$88+$C$10&gt;=GI86,-AG86,IF(GI86=$GX$88+$C$10+1,$FB$93,0))</f>
        <v>-25050.13555775884</v>
      </c>
      <c r="GK86" s="5">
        <f t="shared" si="109"/>
        <v>105836.04068663027</v>
      </c>
      <c r="GL86" s="5">
        <f t="shared" si="110"/>
        <v>90569.926030110408</v>
      </c>
      <c r="GM86" s="35">
        <f t="shared" si="65"/>
        <v>26817.136715043256</v>
      </c>
      <c r="GN86" s="4">
        <f t="shared" si="31"/>
        <v>125604.15713731444</v>
      </c>
      <c r="GO86" s="5">
        <f t="shared" si="111"/>
        <v>8217.0943921607686</v>
      </c>
      <c r="GP86" s="5">
        <f t="shared" si="32"/>
        <v>57.5196607451253</v>
      </c>
      <c r="GQ86" s="5">
        <f t="shared" si="112"/>
        <v>57.5196607451253</v>
      </c>
      <c r="GR86" s="4">
        <f t="shared" si="33"/>
        <v>10.619567365068757</v>
      </c>
      <c r="GS86" s="7">
        <f t="shared" si="113"/>
        <v>138.37681515478906</v>
      </c>
      <c r="GT86" s="107" t="e">
        <f>IF($DG$62=0,EX86,IF(GI86-$C$10+1&lt;=$GF$98,0,#REF!-FX86))</f>
        <v>#REF!</v>
      </c>
      <c r="GU86"/>
      <c r="GV86"/>
      <c r="GW86" s="42" t="s">
        <v>30</v>
      </c>
      <c r="GX86" s="43">
        <f>$C$49</f>
        <v>0.7</v>
      </c>
    </row>
    <row r="87" spans="1:212" s="74" customFormat="1" ht="16.149999999999999" thickBot="1" x14ac:dyDescent="0.55000000000000004">
      <c r="A87" s="75"/>
      <c r="B87" s="331"/>
      <c r="C87" s="282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AB87" s="117" t="str">
        <f t="shared" si="34"/>
        <v/>
      </c>
      <c r="AC87" s="117" t="str">
        <f t="shared" si="35"/>
        <v/>
      </c>
      <c r="AD87" s="299">
        <f>IF($C$20="NEIN",$C$21,IF($C$22="JA",'HISTORISCHE RENDITEN'!E11,'HISTORISCHE RENDITEN'!D11))</f>
        <v>0.37020000000000003</v>
      </c>
      <c r="AE87" s="129">
        <f t="shared" ref="AE87:AE102" si="116">AE86+1</f>
        <v>35</v>
      </c>
      <c r="AF87" s="120">
        <f t="shared" si="37"/>
        <v>2028</v>
      </c>
      <c r="AG87" s="122">
        <f t="shared" si="0"/>
        <v>25217.1427758469</v>
      </c>
      <c r="AH87" s="124">
        <f t="shared" si="38"/>
        <v>196929.15625971821</v>
      </c>
      <c r="AI87" s="296">
        <f t="shared" si="114"/>
        <v>229110.15903648664</v>
      </c>
      <c r="AJ87" s="123">
        <f t="shared" si="67"/>
        <v>25217.1427758469</v>
      </c>
      <c r="AK87" s="124">
        <f t="shared" si="68"/>
        <v>348479.26894325943</v>
      </c>
      <c r="AL87" s="122">
        <f t="shared" si="1"/>
        <v>94151.967130925885</v>
      </c>
      <c r="AM87" s="122">
        <f>IF($C$25="Ausschütter",0,IF(AL87&gt;=0,(AI87+AJ87)*$C$48*0.7))</f>
        <v>124.62037788804342</v>
      </c>
      <c r="AN87" s="122">
        <f t="shared" si="2"/>
        <v>0</v>
      </c>
      <c r="AO87" s="122">
        <f t="shared" si="39"/>
        <v>124.62037788804342</v>
      </c>
      <c r="AP87" s="122">
        <f t="shared" si="69"/>
        <v>459.94632572851521</v>
      </c>
      <c r="AQ87" s="122">
        <f>IF($C$25="AUSSCHÜTTER",0,IF(AO87*$C$46*$C$49&lt;=$C$47,0,AO87*$C$46*$C$49))</f>
        <v>0</v>
      </c>
      <c r="AR87" s="122">
        <f>IF(AO86*$C$49&gt;$C$47,(AN87)*$C$49*$C$46,IF((AO86+AN87)*$C$49&gt;$C$47,((AO86+AN87)*$C$49-$C$47)*$C$46,0))</f>
        <v>0</v>
      </c>
      <c r="AS87" s="122">
        <f t="shared" si="70"/>
        <v>0</v>
      </c>
      <c r="AT87" s="122">
        <f t="shared" si="40"/>
        <v>196929.15625971821</v>
      </c>
      <c r="AU87" s="122">
        <f t="shared" si="115"/>
        <v>0</v>
      </c>
      <c r="AV87" s="122">
        <f t="shared" si="71"/>
        <v>348479.26894325943</v>
      </c>
      <c r="AW87" s="122">
        <f t="shared" si="41"/>
        <v>0</v>
      </c>
      <c r="AX87" s="130">
        <f t="shared" si="42"/>
        <v>0</v>
      </c>
      <c r="AY87" s="82">
        <f>IF(AF87&lt;$C$11,$C$15*(1+$C$19)^(AF87-$C$10),0)</f>
        <v>46613.486341874726</v>
      </c>
      <c r="AZ87" s="82">
        <f>$C$14*(1+$C$37)^(AF87-$C$10)</f>
        <v>21396.343566027826</v>
      </c>
      <c r="BA87" s="165">
        <f>IF(AF87&lt;$C$11,0,MAX($C$38*AI87,AZ87))</f>
        <v>0</v>
      </c>
      <c r="BB87" s="82">
        <f>IF(AF87&lt;$C$11,0,MAX($C$38*AI87,AZ87))</f>
        <v>0</v>
      </c>
      <c r="BC87" s="136">
        <f>IF($C$39="JA",CT87,DG87)</f>
        <v>0</v>
      </c>
      <c r="BD87" s="82">
        <f t="shared" si="3"/>
        <v>0</v>
      </c>
      <c r="BE87" s="82">
        <f>IF(AF87&lt;($C$8+$C$30),0,$C$29*12*(1-$C$31))</f>
        <v>0</v>
      </c>
      <c r="BF87" s="82">
        <f>IF(AF87&lt;($C$8+$C$34),0,$C$33*12*(1-$C$35))</f>
        <v>0</v>
      </c>
      <c r="BG87" s="82">
        <f>IF(AF87&lt;$C$11,0,IF(AI87&lt;0,$C$42*(1+$C$44)^(AF87-$C$10),IF(((AL87+BE87+BF87)*$C$41)&lt;$C$42*(1+$C$44)^(AF87-$C$10),$C$42*(1+$C$44)^(AF87-$C$10),IF(((AL87+BE87+BF87)*$C$41)&lt;$C$43*(1+$C$44)^(AF87-$C$10),(AL87+BE87+BF87)*$C$41,IF(((AL87+BE87+BF87+BB87)*$C$41)&lt;$C$43*(1+$C$44)^(AF87-$C$10),((AL87+BE87+BF87+BB87)*$C$41),$C$43*(1+$C$44)^(AF87-$C$10))))))</f>
        <v>0</v>
      </c>
      <c r="BH87" s="82">
        <f t="shared" si="72"/>
        <v>21396.343566027826</v>
      </c>
      <c r="BI87" s="242">
        <f t="shared" si="73"/>
        <v>369875.6125092872</v>
      </c>
      <c r="BJ87" s="217">
        <f t="shared" si="74"/>
        <v>348479.26894325938</v>
      </c>
      <c r="BK87" s="118"/>
      <c r="BL87" s="219">
        <f t="shared" si="4"/>
        <v>0</v>
      </c>
      <c r="BM87" s="220">
        <f t="shared" si="5"/>
        <v>8</v>
      </c>
      <c r="BN87" s="220">
        <f t="shared" si="6"/>
        <v>10</v>
      </c>
      <c r="BO87" s="221">
        <f t="shared" si="7"/>
        <v>58256.632244827466</v>
      </c>
      <c r="BP87" s="221">
        <f t="shared" si="8"/>
        <v>25217.1427758469</v>
      </c>
      <c r="BQ87" s="222">
        <f t="shared" si="9"/>
        <v>1.3101995639500421</v>
      </c>
      <c r="BR87" s="223">
        <f>IF(BM87&lt;$C$11-$C$10+1,0,IF(BL87&lt;=$C$13,VLOOKUP(BL87,$BN$80:$BQ$156,2,FALSE)-BS87,0))</f>
        <v>0</v>
      </c>
      <c r="BS87" s="223">
        <f>IF(BM87&lt;$C$11-$C$10+1,0,IF(BL87&lt;=$C$13,VLOOKUP(BL87,$BN$80:$BQ$156,3,FALSE),0))</f>
        <v>0</v>
      </c>
      <c r="BT87" s="222">
        <f>IF(BM87&lt;$C$11-$C$10+1,0,IF(BL87&lt;=$C$13,VLOOKUP(BL87,$BN$80:$BQ$156,4,FALSE),0))</f>
        <v>0</v>
      </c>
      <c r="BU87" s="223">
        <f t="shared" si="43"/>
        <v>0</v>
      </c>
      <c r="BV87" s="223">
        <f t="shared" si="44"/>
        <v>0</v>
      </c>
      <c r="BW87" s="223">
        <f t="shared" si="45"/>
        <v>0</v>
      </c>
      <c r="BX87" s="223">
        <f>IF(AND(BS87&lt;=0,BN87=0),MIN((MAX($BZ$80:$BZ$156)-SUM($BX$80:BX86)),CA87),IF(BS87&lt;CA87,BS87,CA87))</f>
        <v>0</v>
      </c>
      <c r="BY87" s="222">
        <f>IF(BN87&gt;0,0,IF(AND(BN87=0,BT87&lt;=0),100%,((BW86*(AVERAGE($BT$80:BT86))+(BR87*BT87))/(BR87+BW86+BS87+BV86))))</f>
        <v>0</v>
      </c>
      <c r="BZ87" s="139">
        <f t="shared" si="46"/>
        <v>196929.15625971821</v>
      </c>
      <c r="CA87" s="122">
        <f t="shared" si="10"/>
        <v>0</v>
      </c>
      <c r="CB87" s="181">
        <f t="shared" si="47"/>
        <v>0</v>
      </c>
      <c r="CC87" s="122">
        <f t="shared" si="48"/>
        <v>0</v>
      </c>
      <c r="CD87" s="182">
        <f t="shared" si="11"/>
        <v>0</v>
      </c>
      <c r="CE87" s="122">
        <f t="shared" si="75"/>
        <v>0</v>
      </c>
      <c r="CF87" s="122">
        <f t="shared" si="76"/>
        <v>196929.15625971821</v>
      </c>
      <c r="CG87" s="122" t="str">
        <f t="shared" si="12"/>
        <v/>
      </c>
      <c r="CH87" s="140">
        <f t="shared" si="13"/>
        <v>0</v>
      </c>
      <c r="CI87" s="142">
        <f t="shared" si="77"/>
        <v>9984</v>
      </c>
      <c r="CJ87" s="134">
        <f>CI87*$C$57</f>
        <v>0</v>
      </c>
      <c r="CK87" s="142">
        <f t="shared" si="78"/>
        <v>14926</v>
      </c>
      <c r="CL87" s="134">
        <f>CK87*$C$57</f>
        <v>0</v>
      </c>
      <c r="CM87" s="142">
        <f t="shared" si="79"/>
        <v>58596</v>
      </c>
      <c r="CN87" s="134">
        <f>CM87*$C$57</f>
        <v>0</v>
      </c>
      <c r="CO87" s="132">
        <f t="shared" si="49"/>
        <v>0</v>
      </c>
      <c r="CP87" s="140">
        <f t="shared" si="14"/>
        <v>0</v>
      </c>
      <c r="CQ87" s="121" t="str">
        <f>IF($C$50="NEIN","NEIN",IF(CS87&lt;CR87,"JA","NEIN"))</f>
        <v>NEIN</v>
      </c>
      <c r="CR87" s="121">
        <f>CO87*$C$46</f>
        <v>0</v>
      </c>
      <c r="CS87" s="121">
        <f t="shared" si="15"/>
        <v>0</v>
      </c>
      <c r="CT87" s="201">
        <f>IF($C$50="NEIN",CR87,IF(CQ87="NEIN",CR87,CS87))</f>
        <v>0</v>
      </c>
      <c r="CU87" s="149"/>
      <c r="CV87" s="202">
        <f t="shared" si="80"/>
        <v>9984</v>
      </c>
      <c r="CW87" s="134">
        <f>CV87*$C$57</f>
        <v>0</v>
      </c>
      <c r="CX87" s="142">
        <f>CX86+CY86</f>
        <v>14926</v>
      </c>
      <c r="CY87" s="134">
        <f>CX87*$C$57</f>
        <v>0</v>
      </c>
      <c r="CZ87" s="142">
        <f t="shared" si="82"/>
        <v>58596</v>
      </c>
      <c r="DA87" s="143">
        <f>CZ87*$C$57</f>
        <v>0</v>
      </c>
      <c r="DB87" s="165">
        <f t="shared" si="16"/>
        <v>0</v>
      </c>
      <c r="DC87" s="140">
        <f t="shared" si="50"/>
        <v>0</v>
      </c>
      <c r="DD87" s="121" t="str">
        <f>IF($C$50="NEIN","NEIN",IF(DF87&lt;DE87,"JA","NEIN"))</f>
        <v>NEIN</v>
      </c>
      <c r="DE87" s="121">
        <f>DB87*$C$46</f>
        <v>0</v>
      </c>
      <c r="DF87" s="121">
        <f t="shared" si="17"/>
        <v>0</v>
      </c>
      <c r="DG87" s="201">
        <f>IF($C$50="NEIN",DE87,IF(DD87="NEIN",DE87,DF87))</f>
        <v>0</v>
      </c>
      <c r="DH87" s="159"/>
      <c r="DK87" s="128"/>
      <c r="DL87" s="128"/>
      <c r="DM87" s="128"/>
      <c r="DO87" s="28">
        <f t="shared" si="83"/>
        <v>2028</v>
      </c>
      <c r="DP87" s="17">
        <f>IF($C$13+$C$10&gt;=DO87,-AG87,IF(DO87=$C$13+$C$10+1,$EK$93,0))</f>
        <v>-25217.1427758469</v>
      </c>
      <c r="DQ87" s="17">
        <f t="shared" si="84"/>
        <v>211946.30365831035</v>
      </c>
      <c r="DR87" s="17">
        <f t="shared" si="85"/>
        <v>220913.51842535863</v>
      </c>
      <c r="DS87" s="17">
        <f t="shared" si="51"/>
        <v>29104.475099032141</v>
      </c>
      <c r="DT87" s="17">
        <f t="shared" si="18"/>
        <v>267519.25307109812</v>
      </c>
      <c r="DU87" s="17">
        <f t="shared" si="86"/>
        <v>17501.259546707355</v>
      </c>
      <c r="DV87" s="33">
        <f t="shared" si="19"/>
        <v>122.50881682695147</v>
      </c>
      <c r="DW87" s="32">
        <f t="shared" si="20"/>
        <v>5350.3850614219627</v>
      </c>
      <c r="DX87" s="17">
        <f t="shared" si="87"/>
        <v>0</v>
      </c>
      <c r="DY87" s="17">
        <f t="shared" si="88"/>
        <v>0</v>
      </c>
      <c r="DZ87" s="17">
        <f t="shared" si="21"/>
        <v>0</v>
      </c>
      <c r="EA87" s="17">
        <f t="shared" si="53"/>
        <v>776.55109196502974</v>
      </c>
      <c r="EB87" s="15">
        <f t="shared" si="54"/>
        <v>4573.8339694569331</v>
      </c>
      <c r="EC87" s="15">
        <f>IF(DP87=0,EC86,IF(DO87&lt;=$EK$88+$C$10,ABS(DP87)+EC86,EC86))</f>
        <v>196929.15625971821</v>
      </c>
      <c r="ED87" s="15">
        <f t="shared" si="89"/>
        <v>2523.481124115991</v>
      </c>
      <c r="EE87" s="16">
        <f t="shared" si="90"/>
        <v>267519.25307109812</v>
      </c>
      <c r="EF87" s="15">
        <f t="shared" si="22"/>
        <v>3887.332323185241</v>
      </c>
      <c r="EG87" s="15">
        <f t="shared" si="91"/>
        <v>15017.147398592224</v>
      </c>
      <c r="EH87" s="16"/>
      <c r="EI87" s="16"/>
      <c r="EJ87" s="38" t="s">
        <v>11</v>
      </c>
      <c r="EK87" s="44">
        <f>$C$47</f>
        <v>801</v>
      </c>
      <c r="EL87" s="112"/>
      <c r="EM87" s="28">
        <f t="shared" si="92"/>
        <v>2028</v>
      </c>
      <c r="EN87" s="29">
        <f>IF($C$13+$C$10&gt;=EM87,-(AG87),IF(EM87=$C$13+$C$10+1,$FB$93,0))</f>
        <v>-25217.1427758469</v>
      </c>
      <c r="EO87" s="30">
        <f t="shared" si="93"/>
        <v>196929.15625971821</v>
      </c>
      <c r="EP87" s="30">
        <f t="shared" si="94"/>
        <v>226708.28822149319</v>
      </c>
      <c r="EQ87" s="30">
        <f t="shared" si="56"/>
        <v>25217.1427758469</v>
      </c>
      <c r="ER87" s="25">
        <f t="shared" si="23"/>
        <v>269560.2111671539</v>
      </c>
      <c r="ES87" s="30">
        <f t="shared" si="95"/>
        <v>17634.780169813806</v>
      </c>
      <c r="ET87" s="26">
        <f t="shared" si="24"/>
        <v>123.44346118869663</v>
      </c>
      <c r="EU87" s="30">
        <f t="shared" si="96"/>
        <v>123.44346118869663</v>
      </c>
      <c r="EV87" s="25">
        <f t="shared" si="25"/>
        <v>0</v>
      </c>
      <c r="EW87" s="31">
        <f t="shared" si="97"/>
        <v>508.41738435204974</v>
      </c>
      <c r="EX87" s="27">
        <f>IF(EM87=0,EX86,IF(EM87&lt;=$FB$88+$C$10,ABS(EN87)+EX86,EX86))</f>
        <v>196929.15625971821</v>
      </c>
      <c r="EY87" s="15"/>
      <c r="EZ87"/>
      <c r="FA87" s="38" t="s">
        <v>11</v>
      </c>
      <c r="FB87" s="44">
        <f>$C$47</f>
        <v>801</v>
      </c>
      <c r="FJ87" s="28">
        <f t="shared" si="98"/>
        <v>2028</v>
      </c>
      <c r="FK87" s="65">
        <f>IF($C$13+$C$10&gt;=FJ87,-AG87,IF(FJ87=$C$13+$C$10+1,$EK$93,0))</f>
        <v>-25217.1427758469</v>
      </c>
      <c r="FL87" s="65">
        <f t="shared" si="99"/>
        <v>74118.803999999975</v>
      </c>
      <c r="FM87" s="65">
        <f t="shared" si="100"/>
        <v>98518.373661774589</v>
      </c>
      <c r="FN87" s="65">
        <f t="shared" si="59"/>
        <v>0</v>
      </c>
      <c r="FO87" s="65">
        <f t="shared" si="26"/>
        <v>105414.65981809882</v>
      </c>
      <c r="FP87" s="65">
        <f t="shared" si="101"/>
        <v>6896.2861563242332</v>
      </c>
      <c r="FQ87" s="59">
        <f t="shared" si="27"/>
        <v>48.274003094269545</v>
      </c>
      <c r="FR87" s="60">
        <f t="shared" si="28"/>
        <v>2108.2931963619767</v>
      </c>
      <c r="FS87" s="65">
        <f t="shared" si="102"/>
        <v>0</v>
      </c>
      <c r="FT87" s="65">
        <f t="shared" si="103"/>
        <v>0</v>
      </c>
      <c r="FU87" s="65">
        <f t="shared" si="29"/>
        <v>0</v>
      </c>
      <c r="FV87" s="65">
        <f t="shared" si="61"/>
        <v>177.97988137832991</v>
      </c>
      <c r="FW87" s="61">
        <f t="shared" si="62"/>
        <v>1930.3133149836467</v>
      </c>
      <c r="FX87" s="61">
        <f>IF(AND(FJ87&lt;=$GF$88+$C$10,FV86&lt;=0,FN87&gt;0),(FJ87-$C$10+1)*AG87+$GF$80,FX86)</f>
        <v>73074.599999999977</v>
      </c>
      <c r="FY87" s="62">
        <f t="shared" si="63"/>
        <v>0.842453479966771</v>
      </c>
      <c r="FZ87" s="63">
        <f t="shared" si="104"/>
        <v>105414.65981809882</v>
      </c>
      <c r="GA87" s="64">
        <f t="shared" si="105"/>
        <v>2010.5790543219305</v>
      </c>
      <c r="GB87" s="64">
        <f t="shared" si="106"/>
        <v>10743.843431316378</v>
      </c>
      <c r="GC87" s="66">
        <f t="shared" si="30"/>
        <v>0</v>
      </c>
      <c r="GD87" s="64">
        <f t="shared" si="107"/>
        <v>1580.6039999999994</v>
      </c>
      <c r="GE87" s="38" t="s">
        <v>11</v>
      </c>
      <c r="GF87" s="44">
        <f>$C$47</f>
        <v>801</v>
      </c>
      <c r="GI87" s="28">
        <f t="shared" si="108"/>
        <v>2028</v>
      </c>
      <c r="GJ87" s="9">
        <f>IF($GX$88+$C$10&gt;=GI87,-AG87,IF(GI87=$GX$88+$C$10+1,$FB$93,0))</f>
        <v>-25217.1427758469</v>
      </c>
      <c r="GK87" s="5">
        <f t="shared" si="109"/>
        <v>132893.20354152983</v>
      </c>
      <c r="GL87" s="5">
        <f t="shared" si="110"/>
        <v>125604.15713731444</v>
      </c>
      <c r="GM87" s="35">
        <f t="shared" si="65"/>
        <v>27057.162854899576</v>
      </c>
      <c r="GN87" s="4">
        <f t="shared" si="31"/>
        <v>163347.61239166898</v>
      </c>
      <c r="GO87" s="5">
        <f t="shared" si="111"/>
        <v>10686.292399454978</v>
      </c>
      <c r="GP87" s="5">
        <f t="shared" si="32"/>
        <v>74.804046796184863</v>
      </c>
      <c r="GQ87" s="5">
        <f t="shared" si="112"/>
        <v>74.804046796184863</v>
      </c>
      <c r="GR87" s="4">
        <f t="shared" si="33"/>
        <v>13.810697139745628</v>
      </c>
      <c r="GS87" s="7">
        <f t="shared" si="113"/>
        <v>213.18086195097391</v>
      </c>
      <c r="GT87" s="107" t="e">
        <f>IF($DG$62=0,EX87,IF(GI87-$C$10+1&lt;=$GF$98,0,#REF!-FX87))</f>
        <v>#REF!</v>
      </c>
      <c r="GU87"/>
      <c r="GV87"/>
      <c r="GW87" s="38" t="s">
        <v>11</v>
      </c>
      <c r="GX87" s="44">
        <f>$C$47</f>
        <v>801</v>
      </c>
    </row>
    <row r="88" spans="1:212" s="74" customFormat="1" ht="16.149999999999999" thickBot="1" x14ac:dyDescent="0.55000000000000004">
      <c r="A88" s="75"/>
      <c r="B88" s="331"/>
      <c r="C88" s="282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AB88" s="117" t="str">
        <f t="shared" si="34"/>
        <v/>
      </c>
      <c r="AC88" s="117" t="str">
        <f t="shared" si="35"/>
        <v/>
      </c>
      <c r="AD88" s="299">
        <f>IF($C$20="NEIN",$C$21,IF($C$22="JA",'HISTORISCHE RENDITEN'!E12,'HISTORISCHE RENDITEN'!D12))</f>
        <v>0.3911</v>
      </c>
      <c r="AE88" s="129">
        <f t="shared" si="116"/>
        <v>36</v>
      </c>
      <c r="AF88" s="120">
        <f t="shared" si="37"/>
        <v>2029</v>
      </c>
      <c r="AG88" s="122">
        <f t="shared" si="0"/>
        <v>25381.436481824319</v>
      </c>
      <c r="AH88" s="124">
        <f t="shared" si="38"/>
        <v>222310.59274154252</v>
      </c>
      <c r="AI88" s="296">
        <f t="shared" si="114"/>
        <v>348479.26894325938</v>
      </c>
      <c r="AJ88" s="123">
        <f t="shared" si="67"/>
        <v>25381.436481824319</v>
      </c>
      <c r="AK88" s="124">
        <f t="shared" si="68"/>
        <v>520077.62731683394</v>
      </c>
      <c r="AL88" s="122">
        <f t="shared" si="1"/>
        <v>146216.92189175024</v>
      </c>
      <c r="AM88" s="122">
        <f>IF($C$25="Ausschütter",0,IF(AL88&gt;=0,(AI88+AJ88)*$C$48*0.7))</f>
        <v>183.19174565829101</v>
      </c>
      <c r="AN88" s="122">
        <f t="shared" si="2"/>
        <v>0</v>
      </c>
      <c r="AO88" s="122">
        <f t="shared" si="39"/>
        <v>183.19174565829101</v>
      </c>
      <c r="AP88" s="122">
        <f t="shared" si="69"/>
        <v>643.13807138680625</v>
      </c>
      <c r="AQ88" s="122">
        <f>IF($C$25="AUSSCHÜTTER",0,IF(AO88*$C$46*$C$49&lt;=$C$47,0,AO88*$C$46*$C$49))</f>
        <v>0</v>
      </c>
      <c r="AR88" s="122">
        <f>IF(AO87*$C$49&gt;$C$47,(AN88)*$C$49*$C$46,IF((AO87+AN88)*$C$49&gt;$C$47,((AO87+AN88)*$C$49-$C$47)*$C$46,0))</f>
        <v>0</v>
      </c>
      <c r="AS88" s="122">
        <f t="shared" si="70"/>
        <v>0</v>
      </c>
      <c r="AT88" s="122">
        <f t="shared" si="40"/>
        <v>222310.59274154252</v>
      </c>
      <c r="AU88" s="122">
        <f t="shared" si="115"/>
        <v>0</v>
      </c>
      <c r="AV88" s="122">
        <f t="shared" si="71"/>
        <v>520077.62731683394</v>
      </c>
      <c r="AW88" s="122">
        <f t="shared" si="41"/>
        <v>0</v>
      </c>
      <c r="AX88" s="130">
        <f t="shared" si="42"/>
        <v>0</v>
      </c>
      <c r="AY88" s="82">
        <f>IF(AF88&lt;$C$11,$C$15*(1+$C$19)^(AF88-$C$10),0)</f>
        <v>47312.688637002837</v>
      </c>
      <c r="AZ88" s="82">
        <f>$C$14*(1+$C$37)^(AF88-$C$10)</f>
        <v>21931.252155178518</v>
      </c>
      <c r="BA88" s="165">
        <f>IF(AF88&lt;$C$11,0,MAX($C$38*AI88,AZ88))</f>
        <v>0</v>
      </c>
      <c r="BB88" s="82">
        <f>IF(AF88&lt;$C$11,0,MAX($C$38*AI88,AZ88))</f>
        <v>0</v>
      </c>
      <c r="BC88" s="136">
        <f>IF($C$39="JA",CT88,DG88)</f>
        <v>0</v>
      </c>
      <c r="BD88" s="82">
        <f t="shared" si="3"/>
        <v>0</v>
      </c>
      <c r="BE88" s="82">
        <f>IF(AF88&lt;($C$8+$C$30),0,$C$29*12*(1-$C$31))</f>
        <v>0</v>
      </c>
      <c r="BF88" s="82">
        <f>IF(AF88&lt;($C$8+$C$34),0,$C$33*12*(1-$C$35))</f>
        <v>0</v>
      </c>
      <c r="BG88" s="82">
        <f>IF(AF88&lt;$C$11,0,IF(AI88&lt;0,$C$42*(1+$C$44)^(AF88-$C$10),IF(((AL88+BE88+BF88)*$C$41)&lt;$C$42*(1+$C$44)^(AF88-$C$10),$C$42*(1+$C$44)^(AF88-$C$10),IF(((AL88+BE88+BF88)*$C$41)&lt;$C$43*(1+$C$44)^(AF88-$C$10),(AL88+BE88+BF88)*$C$41,IF(((AL88+BE88+BF88+BB88)*$C$41)&lt;$C$43*(1+$C$44)^(AF88-$C$10),((AL88+BE88+BF88+BB88)*$C$41),$C$43*(1+$C$44)^(AF88-$C$10))))))</f>
        <v>0</v>
      </c>
      <c r="BH88" s="82">
        <f t="shared" si="72"/>
        <v>21931.252155178518</v>
      </c>
      <c r="BI88" s="242">
        <f t="shared" si="73"/>
        <v>542008.8794720124</v>
      </c>
      <c r="BJ88" s="217">
        <f t="shared" si="74"/>
        <v>520077.62731683388</v>
      </c>
      <c r="BK88" s="118"/>
      <c r="BL88" s="219">
        <f t="shared" si="4"/>
        <v>0</v>
      </c>
      <c r="BM88" s="220">
        <f t="shared" si="5"/>
        <v>9</v>
      </c>
      <c r="BN88" s="220">
        <f t="shared" si="6"/>
        <v>9</v>
      </c>
      <c r="BO88" s="221">
        <f t="shared" si="7"/>
        <v>53926.315154484015</v>
      </c>
      <c r="BP88" s="221">
        <f t="shared" si="8"/>
        <v>25381.436481824319</v>
      </c>
      <c r="BQ88" s="222">
        <f t="shared" si="9"/>
        <v>1.1246360580537167</v>
      </c>
      <c r="BR88" s="223">
        <f>IF(BM88&lt;$C$11-$C$10+1,0,IF(BL88&lt;=$C$13,VLOOKUP(BL88,$BN$80:$BQ$156,2,FALSE)-BS88,0))</f>
        <v>0</v>
      </c>
      <c r="BS88" s="223">
        <f>IF(BM88&lt;$C$11-$C$10+1,0,IF(BL88&lt;=$C$13,VLOOKUP(BL88,$BN$80:$BQ$156,3,FALSE),0))</f>
        <v>0</v>
      </c>
      <c r="BT88" s="222">
        <f>IF(BM88&lt;$C$11-$C$10+1,0,IF(BL88&lt;=$C$13,VLOOKUP(BL88,$BN$80:$BQ$156,4,FALSE),0))</f>
        <v>0</v>
      </c>
      <c r="BU88" s="223">
        <f t="shared" si="43"/>
        <v>0</v>
      </c>
      <c r="BV88" s="223">
        <f t="shared" si="44"/>
        <v>0</v>
      </c>
      <c r="BW88" s="223">
        <f t="shared" si="45"/>
        <v>0</v>
      </c>
      <c r="BX88" s="223">
        <f>IF(AND(BS88&lt;=0,BN88=0),MIN((MAX($BZ$80:$BZ$156)-SUM($BX$80:BX87)),CA88),IF(BS88&lt;CA88,BS88,CA88))</f>
        <v>0</v>
      </c>
      <c r="BY88" s="222">
        <f>IF(BN88&gt;0,0,IF(AND(BN88=0,BT88&lt;=0),100%,((BW87*(AVERAGE($BT$80:BT87))+(BR88*BT88))/(BR88+BW87+BS88+BV87))))</f>
        <v>0</v>
      </c>
      <c r="BZ88" s="139">
        <f t="shared" si="46"/>
        <v>222310.59274154252</v>
      </c>
      <c r="CA88" s="122">
        <f t="shared" si="10"/>
        <v>0</v>
      </c>
      <c r="CB88" s="181">
        <f t="shared" si="47"/>
        <v>0</v>
      </c>
      <c r="CC88" s="122">
        <f t="shared" si="48"/>
        <v>0</v>
      </c>
      <c r="CD88" s="182">
        <f t="shared" si="11"/>
        <v>0</v>
      </c>
      <c r="CE88" s="122">
        <f t="shared" si="75"/>
        <v>0</v>
      </c>
      <c r="CF88" s="122">
        <f t="shared" si="76"/>
        <v>222310.59274154252</v>
      </c>
      <c r="CG88" s="122" t="str">
        <f t="shared" si="12"/>
        <v/>
      </c>
      <c r="CH88" s="140">
        <f t="shared" si="13"/>
        <v>0</v>
      </c>
      <c r="CI88" s="142">
        <f t="shared" si="77"/>
        <v>9984</v>
      </c>
      <c r="CJ88" s="134">
        <f>CI88*$C$57</f>
        <v>0</v>
      </c>
      <c r="CK88" s="142">
        <f t="shared" si="78"/>
        <v>14926</v>
      </c>
      <c r="CL88" s="134">
        <f>CK88*$C$57</f>
        <v>0</v>
      </c>
      <c r="CM88" s="142">
        <f t="shared" si="79"/>
        <v>58596</v>
      </c>
      <c r="CN88" s="134">
        <f>CM88*$C$57</f>
        <v>0</v>
      </c>
      <c r="CO88" s="132">
        <f>CA88*CH88</f>
        <v>0</v>
      </c>
      <c r="CP88" s="140">
        <f t="shared" si="14"/>
        <v>0</v>
      </c>
      <c r="CQ88" s="121" t="str">
        <f>IF($C$50="NEIN","NEIN",IF(CS88&lt;CR88,"JA","NEIN"))</f>
        <v>NEIN</v>
      </c>
      <c r="CR88" s="121">
        <f>CO88*$C$46</f>
        <v>0</v>
      </c>
      <c r="CS88" s="121">
        <f t="shared" si="15"/>
        <v>0</v>
      </c>
      <c r="CT88" s="201">
        <f>IF($C$50="NEIN",CR88,IF(CQ88="NEIN",CR88,CS88))</f>
        <v>0</v>
      </c>
      <c r="CU88" s="149"/>
      <c r="CV88" s="202">
        <f>CV87+CW87</f>
        <v>9984</v>
      </c>
      <c r="CW88" s="134">
        <f>CV88*$C$57</f>
        <v>0</v>
      </c>
      <c r="CX88" s="142">
        <f t="shared" si="81"/>
        <v>14926</v>
      </c>
      <c r="CY88" s="134">
        <f>CX88*$C$57</f>
        <v>0</v>
      </c>
      <c r="CZ88" s="142">
        <f t="shared" si="82"/>
        <v>58596</v>
      </c>
      <c r="DA88" s="143">
        <f>CZ88*$C$57</f>
        <v>0</v>
      </c>
      <c r="DB88" s="165">
        <f t="shared" si="16"/>
        <v>0</v>
      </c>
      <c r="DC88" s="140">
        <f t="shared" si="50"/>
        <v>0</v>
      </c>
      <c r="DD88" s="121" t="str">
        <f>IF($C$50="NEIN","NEIN",IF(DF88&lt;DE88,"JA","NEIN"))</f>
        <v>NEIN</v>
      </c>
      <c r="DE88" s="121">
        <f>DB88*$C$46</f>
        <v>0</v>
      </c>
      <c r="DF88" s="121">
        <f t="shared" si="17"/>
        <v>0</v>
      </c>
      <c r="DG88" s="201">
        <f>IF($C$50="NEIN",DE88,IF(DD88="NEIN",DE88,DF88))</f>
        <v>0</v>
      </c>
      <c r="DH88" s="159"/>
      <c r="DK88" s="128"/>
      <c r="DL88" s="128"/>
      <c r="DM88" s="128"/>
      <c r="DO88" s="28">
        <f t="shared" si="83"/>
        <v>2029</v>
      </c>
      <c r="DP88" s="17">
        <f>IF($C$13+$C$10&gt;=DO88,-AG88,IF(DO88=$C$13+$C$10+1,$EK$93,0))</f>
        <v>-25381.436481824319</v>
      </c>
      <c r="DQ88" s="17">
        <f t="shared" si="84"/>
        <v>241901.5741095916</v>
      </c>
      <c r="DR88" s="17">
        <f t="shared" si="85"/>
        <v>262168.86800967617</v>
      </c>
      <c r="DS88" s="17">
        <f t="shared" si="51"/>
        <v>29955.270451281252</v>
      </c>
      <c r="DT88" s="17">
        <f t="shared" si="18"/>
        <v>312572.82815322449</v>
      </c>
      <c r="DU88" s="17">
        <f t="shared" si="86"/>
        <v>20448.689692267042</v>
      </c>
      <c r="DV88" s="33">
        <f t="shared" si="19"/>
        <v>143.14082784586913</v>
      </c>
      <c r="DW88" s="32">
        <f t="shared" si="20"/>
        <v>6251.4565630644902</v>
      </c>
      <c r="DX88" s="17">
        <f t="shared" si="87"/>
        <v>0</v>
      </c>
      <c r="DY88" s="17">
        <f t="shared" si="88"/>
        <v>0</v>
      </c>
      <c r="DZ88" s="17">
        <f t="shared" si="21"/>
        <v>0</v>
      </c>
      <c r="EA88" s="17">
        <f t="shared" si="53"/>
        <v>942.91141795578142</v>
      </c>
      <c r="EB88" s="15">
        <f t="shared" si="54"/>
        <v>5308.5451451087083</v>
      </c>
      <c r="EC88" s="15">
        <f>IF(DP88=0,EC87,IF(DO88&lt;=$EK$88+$C$10,ABS(DP88)+EC87,EC87))</f>
        <v>222310.59274154252</v>
      </c>
      <c r="ED88" s="15">
        <f t="shared" si="89"/>
        <v>3466.3925420717724</v>
      </c>
      <c r="EE88" s="16">
        <f t="shared" si="90"/>
        <v>312572.82815322449</v>
      </c>
      <c r="EF88" s="15">
        <f t="shared" si="22"/>
        <v>4573.8339694569331</v>
      </c>
      <c r="EG88" s="15">
        <f t="shared" si="91"/>
        <v>19590.981368049157</v>
      </c>
      <c r="EH88" s="16"/>
      <c r="EI88" s="16"/>
      <c r="EJ88" s="45" t="s">
        <v>12</v>
      </c>
      <c r="EK88" s="44">
        <f>$C$13</f>
        <v>17</v>
      </c>
      <c r="EL88" s="112"/>
      <c r="EM88" s="28">
        <f t="shared" si="92"/>
        <v>2029</v>
      </c>
      <c r="EN88" s="29">
        <f>IF($C$13+$C$10&gt;=EM88,-(AG88),IF(EM88=$C$13+$C$10+1,$FB$93,0))</f>
        <v>-25381.436481824319</v>
      </c>
      <c r="EO88" s="30">
        <f t="shared" si="93"/>
        <v>222310.59274154252</v>
      </c>
      <c r="EP88" s="30">
        <f t="shared" si="94"/>
        <v>269560.2111671539</v>
      </c>
      <c r="EQ88" s="30">
        <f t="shared" si="56"/>
        <v>25381.436481824319</v>
      </c>
      <c r="ER88" s="25">
        <f t="shared" si="23"/>
        <v>315587.56298440672</v>
      </c>
      <c r="ES88" s="30">
        <f t="shared" si="95"/>
        <v>20645.915335428494</v>
      </c>
      <c r="ET88" s="26">
        <f t="shared" si="24"/>
        <v>144.52140734799931</v>
      </c>
      <c r="EU88" s="30">
        <f t="shared" si="96"/>
        <v>144.52140734799931</v>
      </c>
      <c r="EV88" s="25">
        <f t="shared" si="25"/>
        <v>0</v>
      </c>
      <c r="EW88" s="31">
        <f t="shared" si="97"/>
        <v>652.93879170004902</v>
      </c>
      <c r="EX88" s="27">
        <f>IF(EM88=0,EX87,IF(EM88&lt;=$FB$88+$C$10,ABS(EN88)+EX87,EX87))</f>
        <v>222310.59274154252</v>
      </c>
      <c r="EY88" s="15"/>
      <c r="EZ88"/>
      <c r="FA88" s="45" t="s">
        <v>12</v>
      </c>
      <c r="FB88" s="44">
        <f>$C$13</f>
        <v>17</v>
      </c>
      <c r="FJ88" s="28">
        <f t="shared" si="98"/>
        <v>2029</v>
      </c>
      <c r="FK88" s="65">
        <f>IF($C$13+$C$10&gt;=FJ88,-AG88,IF(FJ88=$C$13+$C$10+1,$EK$93,0))</f>
        <v>-25381.436481824319</v>
      </c>
      <c r="FL88" s="65">
        <f t="shared" si="99"/>
        <v>74118.803999999975</v>
      </c>
      <c r="FM88" s="65">
        <f t="shared" si="100"/>
        <v>103306.36662173684</v>
      </c>
      <c r="FN88" s="65">
        <f t="shared" si="59"/>
        <v>0</v>
      </c>
      <c r="FO88" s="65">
        <f t="shared" si="26"/>
        <v>110537.81228525843</v>
      </c>
      <c r="FP88" s="65">
        <f t="shared" si="101"/>
        <v>7231.4456635215902</v>
      </c>
      <c r="FQ88" s="59">
        <f t="shared" si="27"/>
        <v>50.620119644651048</v>
      </c>
      <c r="FR88" s="60">
        <f t="shared" si="28"/>
        <v>2210.7562457051686</v>
      </c>
      <c r="FS88" s="65">
        <f t="shared" si="102"/>
        <v>0</v>
      </c>
      <c r="FT88" s="65">
        <f t="shared" si="103"/>
        <v>0</v>
      </c>
      <c r="FU88" s="65">
        <f t="shared" si="29"/>
        <v>0</v>
      </c>
      <c r="FV88" s="65">
        <f t="shared" si="61"/>
        <v>196.8971218633167</v>
      </c>
      <c r="FW88" s="61">
        <f t="shared" si="62"/>
        <v>2013.8591238418519</v>
      </c>
      <c r="FX88" s="61">
        <f>IF(AND(FJ88&lt;=$GF$88+$C$10,FV87&lt;=0,FN88&gt;0),(FJ88-$C$10+1)*AG88+$GF$80,FX87)</f>
        <v>73074.599999999977</v>
      </c>
      <c r="FY88" s="62">
        <f t="shared" si="63"/>
        <v>0.93199671909315585</v>
      </c>
      <c r="FZ88" s="63">
        <f t="shared" si="104"/>
        <v>110537.81228525843</v>
      </c>
      <c r="GA88" s="64">
        <f t="shared" si="105"/>
        <v>2108.2931963619767</v>
      </c>
      <c r="GB88" s="64">
        <f t="shared" si="106"/>
        <v>12852.136627678356</v>
      </c>
      <c r="GC88" s="66">
        <f t="shared" si="30"/>
        <v>0</v>
      </c>
      <c r="GD88" s="64">
        <f t="shared" si="107"/>
        <v>1580.6039999999994</v>
      </c>
      <c r="GE88" s="45" t="s">
        <v>12</v>
      </c>
      <c r="GF88" s="44">
        <f>$C$13</f>
        <v>17</v>
      </c>
      <c r="GI88" s="28">
        <f t="shared" si="108"/>
        <v>2029</v>
      </c>
      <c r="GJ88" s="9">
        <f>IF($GX$88+$C$10&gt;=GI88,-AG88,IF(GI88=$GX$88+$C$10+1,$FB$93,0))</f>
        <v>-25381.436481824319</v>
      </c>
      <c r="GK88" s="5">
        <f t="shared" si="109"/>
        <v>160191.14264119806</v>
      </c>
      <c r="GL88" s="5">
        <f t="shared" si="110"/>
        <v>163347.61239166898</v>
      </c>
      <c r="GM88" s="35">
        <f t="shared" si="65"/>
        <v>27297.93909966822</v>
      </c>
      <c r="GN88" s="4">
        <f t="shared" si="31"/>
        <v>203990.74009573081</v>
      </c>
      <c r="GO88" s="5">
        <f t="shared" si="111"/>
        <v>13345.188604393625</v>
      </c>
      <c r="GP88" s="5">
        <f t="shared" si="32"/>
        <v>93.416320230755218</v>
      </c>
      <c r="GQ88" s="5">
        <f t="shared" si="112"/>
        <v>93.416320230755218</v>
      </c>
      <c r="GR88" s="4">
        <f t="shared" si="33"/>
        <v>17.246988122603181</v>
      </c>
      <c r="GS88" s="7">
        <f t="shared" si="113"/>
        <v>306.59718218172912</v>
      </c>
      <c r="GT88" s="107" t="e">
        <f>IF($DG$62=0,EX88,IF(GI88-$C$10+1&lt;=$GF$98,0,#REF!-FX88))</f>
        <v>#REF!</v>
      </c>
      <c r="GU88"/>
      <c r="GV88"/>
      <c r="GW88" s="45" t="s">
        <v>12</v>
      </c>
      <c r="GX88" s="44">
        <f>$C$13</f>
        <v>17</v>
      </c>
    </row>
    <row r="89" spans="1:212" s="74" customFormat="1" ht="16.149999999999999" thickBot="1" x14ac:dyDescent="0.55000000000000004">
      <c r="A89" s="75"/>
      <c r="B89" s="331"/>
      <c r="C89" s="282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AB89" s="117" t="str">
        <f t="shared" si="34"/>
        <v/>
      </c>
      <c r="AC89" s="117" t="str">
        <f t="shared" si="35"/>
        <v/>
      </c>
      <c r="AD89" s="299">
        <f>IF($C$20="NEIN",$C$21,IF($C$22="JA",'HISTORISCHE RENDITEN'!E13,'HISTORISCHE RENDITEN'!D13))</f>
        <v>0.1434</v>
      </c>
      <c r="AE89" s="129">
        <f t="shared" si="116"/>
        <v>37</v>
      </c>
      <c r="AF89" s="120">
        <f t="shared" si="37"/>
        <v>2030</v>
      </c>
      <c r="AG89" s="122">
        <f t="shared" si="0"/>
        <v>25542.845507499896</v>
      </c>
      <c r="AH89" s="124">
        <f t="shared" si="38"/>
        <v>247853.43824904243</v>
      </c>
      <c r="AI89" s="296">
        <f t="shared" si="114"/>
        <v>520077.62731683388</v>
      </c>
      <c r="AJ89" s="123">
        <f t="shared" si="67"/>
        <v>25542.845507499896</v>
      </c>
      <c r="AK89" s="124">
        <f t="shared" si="68"/>
        <v>623862.44862734328</v>
      </c>
      <c r="AL89" s="122">
        <f t="shared" si="1"/>
        <v>78241.975803009467</v>
      </c>
      <c r="AM89" s="122">
        <f>IF($C$25="Ausschütter",0,IF(AL89&gt;=0,(AI89+AJ89)*$C$48*0.7))</f>
        <v>267.35403168392355</v>
      </c>
      <c r="AN89" s="122">
        <f t="shared" si="2"/>
        <v>0</v>
      </c>
      <c r="AO89" s="122">
        <f t="shared" si="39"/>
        <v>267.35403168392355</v>
      </c>
      <c r="AP89" s="122">
        <f t="shared" si="69"/>
        <v>910.49210307072985</v>
      </c>
      <c r="AQ89" s="122">
        <f>IF($C$25="AUSSCHÜTTER",0,IF(AO89*$C$46*$C$49&lt;=$C$47,0,AO89*$C$46*$C$49))</f>
        <v>0</v>
      </c>
      <c r="AR89" s="122">
        <f>IF(AO88*$C$49&gt;$C$47,(AN89)*$C$49*$C$46,IF((AO88+AN89)*$C$49&gt;$C$47,((AO88+AN89)*$C$49-$C$47)*$C$46,0))</f>
        <v>0</v>
      </c>
      <c r="AS89" s="122">
        <f t="shared" si="70"/>
        <v>0</v>
      </c>
      <c r="AT89" s="122">
        <f t="shared" si="40"/>
        <v>247853.43824904243</v>
      </c>
      <c r="AU89" s="122">
        <f t="shared" si="115"/>
        <v>0</v>
      </c>
      <c r="AV89" s="122">
        <f t="shared" si="71"/>
        <v>623862.44862734328</v>
      </c>
      <c r="AW89" s="122">
        <f t="shared" si="41"/>
        <v>0</v>
      </c>
      <c r="AX89" s="130">
        <f t="shared" si="42"/>
        <v>0</v>
      </c>
      <c r="AY89" s="82">
        <f>IF(AF89&lt;$C$11,$C$15*(1+$C$19)^(AF89-$C$10),0)</f>
        <v>48022.378966557873</v>
      </c>
      <c r="AZ89" s="82">
        <f>$C$14*(1+$C$37)^(AF89-$C$10)</f>
        <v>22479.533459057977</v>
      </c>
      <c r="BA89" s="165">
        <f>IF(AF89&lt;$C$11,0,MAX($C$38*AI89,AZ89))</f>
        <v>0</v>
      </c>
      <c r="BB89" s="82">
        <f>IF(AF89&lt;$C$11,0,MAX($C$38*AI89,AZ89))</f>
        <v>0</v>
      </c>
      <c r="BC89" s="136">
        <f>IF($C$39="JA",CT89,DG89)</f>
        <v>0</v>
      </c>
      <c r="BD89" s="82">
        <f t="shared" si="3"/>
        <v>0</v>
      </c>
      <c r="BE89" s="82">
        <f>IF(AF89&lt;($C$8+$C$30),0,$C$29*12*(1-$C$31))</f>
        <v>0</v>
      </c>
      <c r="BF89" s="82">
        <f>IF(AF89&lt;($C$8+$C$34),0,$C$33*12*(1-$C$35))</f>
        <v>0</v>
      </c>
      <c r="BG89" s="82">
        <f>IF(AF89&lt;$C$11,0,IF(AI89&lt;0,$C$42*(1+$C$44)^(AF89-$C$10),IF(((AL89+BE89+BF89)*$C$41)&lt;$C$42*(1+$C$44)^(AF89-$C$10),$C$42*(1+$C$44)^(AF89-$C$10),IF(((AL89+BE89+BF89)*$C$41)&lt;$C$43*(1+$C$44)^(AF89-$C$10),(AL89+BE89+BF89)*$C$41,IF(((AL89+BE89+BF89+BB89)*$C$41)&lt;$C$43*(1+$C$44)^(AF89-$C$10),((AL89+BE89+BF89+BB89)*$C$41),$C$43*(1+$C$44)^(AF89-$C$10))))))</f>
        <v>0</v>
      </c>
      <c r="BH89" s="82">
        <f t="shared" si="72"/>
        <v>22479.533459057977</v>
      </c>
      <c r="BI89" s="242">
        <f t="shared" si="73"/>
        <v>646341.9820864012</v>
      </c>
      <c r="BJ89" s="217">
        <f t="shared" si="74"/>
        <v>623862.44862734317</v>
      </c>
      <c r="BK89" s="118"/>
      <c r="BL89" s="219">
        <f t="shared" si="4"/>
        <v>0</v>
      </c>
      <c r="BM89" s="220">
        <f t="shared" si="5"/>
        <v>10</v>
      </c>
      <c r="BN89" s="220">
        <f t="shared" si="6"/>
        <v>8</v>
      </c>
      <c r="BO89" s="221">
        <f t="shared" si="7"/>
        <v>49910.149948710532</v>
      </c>
      <c r="BP89" s="221">
        <f t="shared" si="8"/>
        <v>25542.845507499896</v>
      </c>
      <c r="BQ89" s="222">
        <f t="shared" si="9"/>
        <v>0.95397767778284148</v>
      </c>
      <c r="BR89" s="223">
        <f>IF(BM89&lt;$C$11-$C$10+1,0,IF(BL89&lt;=$C$13,VLOOKUP(BL89,$BN$80:$BQ$156,2,FALSE)-BS89,0))</f>
        <v>0</v>
      </c>
      <c r="BS89" s="223">
        <f>IF(BM89&lt;$C$11-$C$10+1,0,IF(BL89&lt;=$C$13,VLOOKUP(BL89,$BN$80:$BQ$156,3,FALSE),0))</f>
        <v>0</v>
      </c>
      <c r="BT89" s="222">
        <f>IF(BM89&lt;$C$11-$C$10+1,0,IF(BL89&lt;=$C$13,VLOOKUP(BL89,$BN$80:$BQ$156,4,FALSE),0))</f>
        <v>0</v>
      </c>
      <c r="BU89" s="223">
        <f t="shared" si="43"/>
        <v>0</v>
      </c>
      <c r="BV89" s="223">
        <f t="shared" si="44"/>
        <v>0</v>
      </c>
      <c r="BW89" s="223">
        <f t="shared" si="45"/>
        <v>0</v>
      </c>
      <c r="BX89" s="223">
        <f>IF(AND(BS89&lt;=0,BN89=0),MIN((MAX($BZ$80:$BZ$156)-SUM($BX$80:BX88)),CA89),IF(BS89&lt;CA89,BS89,CA89))</f>
        <v>0</v>
      </c>
      <c r="BY89" s="222">
        <f>IF(BN89&gt;0,0,IF(AND(BN89=0,BT89&lt;=0),100%,((BW88*(AVERAGE($BT$80:BT88))+(BR89*BT89))/(BR89+BW88+BS89+BV88))))</f>
        <v>0</v>
      </c>
      <c r="BZ89" s="139">
        <f t="shared" si="46"/>
        <v>247853.43824904243</v>
      </c>
      <c r="CA89" s="122">
        <f t="shared" si="10"/>
        <v>0</v>
      </c>
      <c r="CB89" s="181">
        <f t="shared" si="47"/>
        <v>0</v>
      </c>
      <c r="CC89" s="122">
        <f t="shared" si="48"/>
        <v>0</v>
      </c>
      <c r="CD89" s="182">
        <f t="shared" si="11"/>
        <v>0</v>
      </c>
      <c r="CE89" s="122">
        <f t="shared" si="75"/>
        <v>0</v>
      </c>
      <c r="CF89" s="122">
        <f t="shared" si="76"/>
        <v>247853.43824904243</v>
      </c>
      <c r="CG89" s="122" t="str">
        <f t="shared" si="12"/>
        <v/>
      </c>
      <c r="CH89" s="140">
        <f t="shared" si="13"/>
        <v>0</v>
      </c>
      <c r="CI89" s="142">
        <f t="shared" si="77"/>
        <v>9984</v>
      </c>
      <c r="CJ89" s="134">
        <f>CI89*$C$57</f>
        <v>0</v>
      </c>
      <c r="CK89" s="142">
        <f t="shared" si="78"/>
        <v>14926</v>
      </c>
      <c r="CL89" s="134">
        <f>CK89*$C$57</f>
        <v>0</v>
      </c>
      <c r="CM89" s="142">
        <f t="shared" si="79"/>
        <v>58596</v>
      </c>
      <c r="CN89" s="134">
        <f>CM89*$C$57</f>
        <v>0</v>
      </c>
      <c r="CO89" s="132">
        <f t="shared" ref="CO89:CO152" si="117">CA89*CH89</f>
        <v>0</v>
      </c>
      <c r="CP89" s="140">
        <f t="shared" si="14"/>
        <v>0</v>
      </c>
      <c r="CQ89" s="121" t="str">
        <f>IF($C$50="NEIN","NEIN",IF(CS89&lt;CR89,"JA","NEIN"))</f>
        <v>NEIN</v>
      </c>
      <c r="CR89" s="121">
        <f>CO89*$C$46</f>
        <v>0</v>
      </c>
      <c r="CS89" s="121">
        <f t="shared" si="15"/>
        <v>0</v>
      </c>
      <c r="CT89" s="201">
        <f>IF($C$50="NEIN",CR89,IF(CQ89="NEIN",CR89,CS89))</f>
        <v>0</v>
      </c>
      <c r="CU89" s="149"/>
      <c r="CV89" s="202">
        <f t="shared" si="80"/>
        <v>9984</v>
      </c>
      <c r="CW89" s="134">
        <f>CV89*$C$57</f>
        <v>0</v>
      </c>
      <c r="CX89" s="142">
        <f t="shared" si="81"/>
        <v>14926</v>
      </c>
      <c r="CY89" s="134">
        <f>CX89*$C$57</f>
        <v>0</v>
      </c>
      <c r="CZ89" s="142">
        <f t="shared" si="82"/>
        <v>58596</v>
      </c>
      <c r="DA89" s="143">
        <f>CZ89*$C$57</f>
        <v>0</v>
      </c>
      <c r="DB89" s="165">
        <f t="shared" si="16"/>
        <v>0</v>
      </c>
      <c r="DC89" s="140">
        <f t="shared" si="50"/>
        <v>0</v>
      </c>
      <c r="DD89" s="121" t="str">
        <f>IF($C$50="NEIN","NEIN",IF(DF89&lt;DE89,"JA","NEIN"))</f>
        <v>NEIN</v>
      </c>
      <c r="DE89" s="121">
        <f>DB89*$C$46</f>
        <v>0</v>
      </c>
      <c r="DF89" s="121">
        <f t="shared" si="17"/>
        <v>0</v>
      </c>
      <c r="DG89" s="201">
        <f>IF($C$50="NEIN",DE89,IF(DD89="NEIN",DE89,DF89))</f>
        <v>0</v>
      </c>
      <c r="DH89" s="159"/>
      <c r="DK89" s="128"/>
      <c r="DL89" s="128"/>
      <c r="DM89" s="128"/>
      <c r="DO89" s="28">
        <f t="shared" si="83"/>
        <v>2030</v>
      </c>
      <c r="DP89" s="17">
        <f>IF($C$13+$C$10&gt;=DO89,-AG89,IF(DO89=$C$13+$C$10+1,$EK$93,0))</f>
        <v>-25542.845507499896</v>
      </c>
      <c r="DQ89" s="17">
        <f t="shared" si="84"/>
        <v>272752.96476220019</v>
      </c>
      <c r="DR89" s="17">
        <f t="shared" si="85"/>
        <v>306321.37159016001</v>
      </c>
      <c r="DS89" s="17">
        <f t="shared" si="51"/>
        <v>30851.390652608607</v>
      </c>
      <c r="DT89" s="17">
        <f t="shared" si="18"/>
        <v>360774.85559976241</v>
      </c>
      <c r="DU89" s="17">
        <f t="shared" si="86"/>
        <v>23602.093356993806</v>
      </c>
      <c r="DV89" s="33">
        <f t="shared" si="19"/>
        <v>165.21465349895661</v>
      </c>
      <c r="DW89" s="32">
        <f t="shared" si="20"/>
        <v>7215.4971119952479</v>
      </c>
      <c r="DX89" s="17">
        <f t="shared" si="87"/>
        <v>0</v>
      </c>
      <c r="DY89" s="17">
        <f t="shared" si="88"/>
        <v>0</v>
      </c>
      <c r="DZ89" s="17">
        <f t="shared" si="21"/>
        <v>0</v>
      </c>
      <c r="EA89" s="17">
        <f t="shared" si="53"/>
        <v>1120.8974043021226</v>
      </c>
      <c r="EB89" s="15">
        <f t="shared" si="54"/>
        <v>6094.5997076931253</v>
      </c>
      <c r="EC89" s="15">
        <f>IF(DP89=0,EC88,IF(DO89&lt;=$EK$88+$C$10,ABS(DP89)+EC88,EC88))</f>
        <v>247853.43824904243</v>
      </c>
      <c r="ED89" s="15">
        <f t="shared" si="89"/>
        <v>4587.289946373895</v>
      </c>
      <c r="EE89" s="16">
        <f t="shared" si="90"/>
        <v>360774.85559976241</v>
      </c>
      <c r="EF89" s="15">
        <f t="shared" si="22"/>
        <v>5308.5451451087101</v>
      </c>
      <c r="EG89" s="15">
        <f t="shared" si="91"/>
        <v>24899.526513157867</v>
      </c>
      <c r="EH89" s="16"/>
      <c r="EI89" s="16"/>
      <c r="EJ89" s="46"/>
      <c r="EK89" s="47"/>
      <c r="EL89" s="113"/>
      <c r="EM89" s="28">
        <f t="shared" si="92"/>
        <v>2030</v>
      </c>
      <c r="EN89" s="29">
        <f>IF($C$13+$C$10&gt;=EM89,-(AG89),IF(EM89=$C$13+$C$10+1,$FB$93,0))</f>
        <v>-25542.845507499896</v>
      </c>
      <c r="EO89" s="30">
        <f t="shared" si="93"/>
        <v>247853.43824904243</v>
      </c>
      <c r="EP89" s="30">
        <f t="shared" si="94"/>
        <v>315587.56298440672</v>
      </c>
      <c r="EQ89" s="30">
        <f t="shared" si="56"/>
        <v>25542.845507499896</v>
      </c>
      <c r="ER89" s="25">
        <f t="shared" si="23"/>
        <v>365009.53708634007</v>
      </c>
      <c r="ES89" s="30">
        <f t="shared" si="95"/>
        <v>23879.128594433481</v>
      </c>
      <c r="ET89" s="26">
        <f t="shared" si="24"/>
        <v>167.15390016103422</v>
      </c>
      <c r="EU89" s="30">
        <f t="shared" si="96"/>
        <v>167.15390016103422</v>
      </c>
      <c r="EV89" s="25">
        <f t="shared" si="25"/>
        <v>0</v>
      </c>
      <c r="EW89" s="31">
        <f t="shared" si="97"/>
        <v>820.09269186108327</v>
      </c>
      <c r="EX89" s="27">
        <f>IF(EM89=0,EX88,IF(EM89&lt;=$FB$88+$C$10,ABS(EN89)+EX88,EX88))</f>
        <v>247853.43824904243</v>
      </c>
      <c r="EY89" s="15"/>
      <c r="EZ89"/>
      <c r="FA89" s="46" t="s">
        <v>13</v>
      </c>
      <c r="FB89" s="47"/>
      <c r="FJ89" s="28">
        <f t="shared" si="98"/>
        <v>2030</v>
      </c>
      <c r="FK89" s="65">
        <f>IF($C$13+$C$10&gt;=FJ89,-AG89,IF(FJ89=$C$13+$C$10+1,$EK$93,0))</f>
        <v>-25542.845507499896</v>
      </c>
      <c r="FL89" s="65">
        <f t="shared" si="99"/>
        <v>74118.803999999975</v>
      </c>
      <c r="FM89" s="65">
        <f t="shared" si="100"/>
        <v>108327.05603955327</v>
      </c>
      <c r="FN89" s="65">
        <f t="shared" si="59"/>
        <v>0</v>
      </c>
      <c r="FO89" s="65">
        <f t="shared" si="26"/>
        <v>115909.949962322</v>
      </c>
      <c r="FP89" s="65">
        <f t="shared" si="101"/>
        <v>7582.893922768737</v>
      </c>
      <c r="FQ89" s="59">
        <f t="shared" si="27"/>
        <v>53.080257459381095</v>
      </c>
      <c r="FR89" s="60">
        <f t="shared" si="28"/>
        <v>2318.1989992464401</v>
      </c>
      <c r="FS89" s="65">
        <f t="shared" si="102"/>
        <v>0</v>
      </c>
      <c r="FT89" s="65">
        <f t="shared" si="103"/>
        <v>0</v>
      </c>
      <c r="FU89" s="65">
        <f t="shared" si="29"/>
        <v>0</v>
      </c>
      <c r="FV89" s="65">
        <f t="shared" si="61"/>
        <v>216.733740235874</v>
      </c>
      <c r="FW89" s="61">
        <f t="shared" si="62"/>
        <v>2101.4652590105661</v>
      </c>
      <c r="FX89" s="61">
        <f>IF(AND(FJ89&lt;=$GF$88+$C$10,FV88&lt;=0,FN89&gt;0),(FJ89-$C$10+1)*AG89+$GF$80,FX88)</f>
        <v>73074.599999999977</v>
      </c>
      <c r="FY89" s="62">
        <f t="shared" si="63"/>
        <v>1.0258917596410837</v>
      </c>
      <c r="FZ89" s="63">
        <f t="shared" si="104"/>
        <v>115909.949962322</v>
      </c>
      <c r="GA89" s="64">
        <f t="shared" si="105"/>
        <v>2210.7562457051686</v>
      </c>
      <c r="GB89" s="64">
        <f t="shared" si="106"/>
        <v>15062.892873383524</v>
      </c>
      <c r="GC89" s="66">
        <f t="shared" si="30"/>
        <v>0</v>
      </c>
      <c r="GD89" s="64">
        <f t="shared" si="107"/>
        <v>1580.6039999999994</v>
      </c>
      <c r="GE89" s="46"/>
      <c r="GF89" s="47"/>
      <c r="GI89" s="28">
        <f t="shared" si="108"/>
        <v>2030</v>
      </c>
      <c r="GJ89" s="9">
        <f>IF($GX$88+$C$10&gt;=GI89,-AG89,IF(GI89=$GX$88+$C$10+1,$FB$93,0))</f>
        <v>-25542.845507499896</v>
      </c>
      <c r="GK89" s="5">
        <f t="shared" si="109"/>
        <v>187730.60028441722</v>
      </c>
      <c r="GL89" s="5">
        <f t="shared" si="110"/>
        <v>203990.74009573081</v>
      </c>
      <c r="GM89" s="35">
        <f t="shared" si="65"/>
        <v>27539.457643219146</v>
      </c>
      <c r="GN89" s="4">
        <f t="shared" si="31"/>
        <v>247737.31158067647</v>
      </c>
      <c r="GO89" s="5">
        <f t="shared" si="111"/>
        <v>16207.113841726503</v>
      </c>
      <c r="GP89" s="5">
        <f t="shared" si="32"/>
        <v>113.44979689208546</v>
      </c>
      <c r="GQ89" s="5">
        <f t="shared" si="112"/>
        <v>113.44979689208546</v>
      </c>
      <c r="GR89" s="4">
        <f t="shared" si="33"/>
        <v>20.945668751201275</v>
      </c>
      <c r="GS89" s="7">
        <f t="shared" si="113"/>
        <v>420.04697907381455</v>
      </c>
      <c r="GT89" s="107" t="e">
        <f>IF($DG$62=0,EX89,IF(GI89-$C$10+1&lt;=$GF$98,0,#REF!-FX89))</f>
        <v>#REF!</v>
      </c>
      <c r="GU89"/>
      <c r="GV89"/>
      <c r="GW89" s="46" t="s">
        <v>13</v>
      </c>
      <c r="GX89" s="47"/>
    </row>
    <row r="90" spans="1:212" s="74" customFormat="1" ht="16.149999999999999" thickBot="1" x14ac:dyDescent="0.55000000000000004">
      <c r="A90" s="75"/>
      <c r="B90" s="331"/>
      <c r="C90" s="282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AB90" s="117" t="str">
        <f t="shared" si="34"/>
        <v/>
      </c>
      <c r="AC90" s="117" t="str">
        <f t="shared" si="35"/>
        <v/>
      </c>
      <c r="AD90" s="299">
        <f>IF($C$20="NEIN",$C$21,IF($C$22="JA",'HISTORISCHE RENDITEN'!E14,'HISTORISCHE RENDITEN'!D14))</f>
        <v>0.21190000000000001</v>
      </c>
      <c r="AE90" s="129">
        <f t="shared" si="116"/>
        <v>38</v>
      </c>
      <c r="AF90" s="120">
        <f t="shared" si="37"/>
        <v>2031</v>
      </c>
      <c r="AG90" s="122">
        <f t="shared" si="0"/>
        <v>25701.192855521811</v>
      </c>
      <c r="AH90" s="124">
        <f t="shared" si="38"/>
        <v>273554.63110456424</v>
      </c>
      <c r="AI90" s="296">
        <f t="shared" si="114"/>
        <v>623862.44862734317</v>
      </c>
      <c r="AJ90" s="123">
        <f t="shared" si="67"/>
        <v>25701.192855521811</v>
      </c>
      <c r="AK90" s="124">
        <f t="shared" si="68"/>
        <v>787206.17711308401</v>
      </c>
      <c r="AL90" s="122">
        <f t="shared" si="1"/>
        <v>137642.53563021903</v>
      </c>
      <c r="AM90" s="122">
        <f>IF($C$25="Ausschütter",0,IF(AL90&gt;=0,(AI90+AJ90)*$C$48*0.7))</f>
        <v>318.2861843266038</v>
      </c>
      <c r="AN90" s="122">
        <f t="shared" si="2"/>
        <v>0</v>
      </c>
      <c r="AO90" s="122">
        <f t="shared" si="39"/>
        <v>318.2861843266038</v>
      </c>
      <c r="AP90" s="122">
        <f t="shared" si="69"/>
        <v>1228.7782873973338</v>
      </c>
      <c r="AQ90" s="122">
        <f>IF($C$25="AUSSCHÜTTER",0,IF(AO90*$C$46*$C$49&lt;=$C$47,0,AO90*$C$46*$C$49))</f>
        <v>0</v>
      </c>
      <c r="AR90" s="122">
        <f>IF(AO89*$C$49&gt;$C$47,(AN90)*$C$49*$C$46,IF((AO89+AN90)*$C$49&gt;$C$47,((AO89+AN90)*$C$49-$C$47)*$C$46,0))</f>
        <v>0</v>
      </c>
      <c r="AS90" s="122">
        <f t="shared" si="70"/>
        <v>0</v>
      </c>
      <c r="AT90" s="122">
        <f t="shared" si="40"/>
        <v>273554.63110456424</v>
      </c>
      <c r="AU90" s="122">
        <f t="shared" si="115"/>
        <v>0</v>
      </c>
      <c r="AV90" s="122">
        <f t="shared" si="71"/>
        <v>787206.17711308401</v>
      </c>
      <c r="AW90" s="122">
        <f t="shared" si="41"/>
        <v>0</v>
      </c>
      <c r="AX90" s="130">
        <f t="shared" si="42"/>
        <v>0</v>
      </c>
      <c r="AY90" s="82">
        <f>IF(AF90&lt;$C$11,$C$15*(1+$C$19)^(AF90-$C$10),0)</f>
        <v>48742.714651056238</v>
      </c>
      <c r="AZ90" s="82">
        <f>$C$14*(1+$C$37)^(AF90-$C$10)</f>
        <v>23041.521795534427</v>
      </c>
      <c r="BA90" s="165">
        <f>IF(AF90&lt;$C$11,0,MAX($C$38*AI90,AZ90))</f>
        <v>0</v>
      </c>
      <c r="BB90" s="82">
        <f>IF(AF90&lt;$C$11,0,MAX($C$38*AI90,AZ90))</f>
        <v>0</v>
      </c>
      <c r="BC90" s="136">
        <f>IF($C$39="JA",CT90,DG90)</f>
        <v>0</v>
      </c>
      <c r="BD90" s="82">
        <f t="shared" si="3"/>
        <v>0</v>
      </c>
      <c r="BE90" s="82">
        <f>IF(AF90&lt;($C$8+$C$30),0,$C$29*12*(1-$C$31))</f>
        <v>0</v>
      </c>
      <c r="BF90" s="82">
        <f>IF(AF90&lt;($C$8+$C$34),0,$C$33*12*(1-$C$35))</f>
        <v>0</v>
      </c>
      <c r="BG90" s="82">
        <f>IF(AF90&lt;$C$11,0,IF(AI90&lt;0,$C$42*(1+$C$44)^(AF90-$C$10),IF(((AL90+BE90+BF90)*$C$41)&lt;$C$42*(1+$C$44)^(AF90-$C$10),$C$42*(1+$C$44)^(AF90-$C$10),IF(((AL90+BE90+BF90)*$C$41)&lt;$C$43*(1+$C$44)^(AF90-$C$10),(AL90+BE90+BF90)*$C$41,IF(((AL90+BE90+BF90+BB90)*$C$41)&lt;$C$43*(1+$C$44)^(AF90-$C$10),((AL90+BE90+BF90+BB90)*$C$41),$C$43*(1+$C$44)^(AF90-$C$10))))))</f>
        <v>0</v>
      </c>
      <c r="BH90" s="82">
        <f t="shared" si="72"/>
        <v>23041.521795534427</v>
      </c>
      <c r="BI90" s="242">
        <f t="shared" si="73"/>
        <v>810247.69890861842</v>
      </c>
      <c r="BJ90" s="217">
        <f t="shared" si="74"/>
        <v>787206.17711308401</v>
      </c>
      <c r="BK90" s="118"/>
      <c r="BL90" s="219">
        <f t="shared" si="4"/>
        <v>0</v>
      </c>
      <c r="BM90" s="220">
        <f t="shared" si="5"/>
        <v>11</v>
      </c>
      <c r="BN90" s="220">
        <f t="shared" si="6"/>
        <v>7</v>
      </c>
      <c r="BO90" s="221">
        <f t="shared" si="7"/>
        <v>46185.742377975934</v>
      </c>
      <c r="BP90" s="221">
        <f t="shared" si="8"/>
        <v>25701.192855521811</v>
      </c>
      <c r="BQ90" s="222">
        <f t="shared" si="9"/>
        <v>0.79702719004550371</v>
      </c>
      <c r="BR90" s="223">
        <f>IF(BM90&lt;$C$11-$C$10+1,0,IF(BL90&lt;=$C$13,VLOOKUP(BL90,$BN$80:$BQ$156,2,FALSE)-BS90,0))</f>
        <v>0</v>
      </c>
      <c r="BS90" s="223">
        <f>IF(BM90&lt;$C$11-$C$10+1,0,IF(BL90&lt;=$C$13,VLOOKUP(BL90,$BN$80:$BQ$156,3,FALSE),0))</f>
        <v>0</v>
      </c>
      <c r="BT90" s="222">
        <f>IF(BM90&lt;$C$11-$C$10+1,0,IF(BL90&lt;=$C$13,VLOOKUP(BL90,$BN$80:$BQ$156,4,FALSE),0))</f>
        <v>0</v>
      </c>
      <c r="BU90" s="223">
        <f t="shared" si="43"/>
        <v>0</v>
      </c>
      <c r="BV90" s="223">
        <f t="shared" si="44"/>
        <v>0</v>
      </c>
      <c r="BW90" s="223">
        <f t="shared" si="45"/>
        <v>0</v>
      </c>
      <c r="BX90" s="223">
        <f>IF(AND(BS90&lt;=0,BN90=0),MIN((MAX($BZ$80:$BZ$156)-SUM($BX$80:BX89)),CA90),IF(BS90&lt;CA90,BS90,CA90))</f>
        <v>0</v>
      </c>
      <c r="BY90" s="222">
        <f>IF(BN90&gt;0,0,IF(AND(BN90=0,BT90&lt;=0),100%,((BW89*(AVERAGE($BT$80:BT89))+(BR90*BT90))/(BR90+BW89+BS90+BV89))))</f>
        <v>0</v>
      </c>
      <c r="BZ90" s="139">
        <f t="shared" si="46"/>
        <v>273554.63110456424</v>
      </c>
      <c r="CA90" s="122">
        <f t="shared" si="10"/>
        <v>0</v>
      </c>
      <c r="CB90" s="181">
        <f t="shared" si="47"/>
        <v>0</v>
      </c>
      <c r="CC90" s="122">
        <f t="shared" si="48"/>
        <v>0</v>
      </c>
      <c r="CD90" s="182">
        <f t="shared" si="11"/>
        <v>0</v>
      </c>
      <c r="CE90" s="122">
        <f t="shared" si="75"/>
        <v>0</v>
      </c>
      <c r="CF90" s="122">
        <f t="shared" si="76"/>
        <v>273554.63110456424</v>
      </c>
      <c r="CG90" s="122" t="str">
        <f t="shared" si="12"/>
        <v/>
      </c>
      <c r="CH90" s="140">
        <f t="shared" si="13"/>
        <v>0</v>
      </c>
      <c r="CI90" s="142">
        <f t="shared" si="77"/>
        <v>9984</v>
      </c>
      <c r="CJ90" s="134">
        <f>CI90*$C$57</f>
        <v>0</v>
      </c>
      <c r="CK90" s="142">
        <f t="shared" si="78"/>
        <v>14926</v>
      </c>
      <c r="CL90" s="134">
        <f>CK90*$C$57</f>
        <v>0</v>
      </c>
      <c r="CM90" s="142">
        <f t="shared" si="79"/>
        <v>58596</v>
      </c>
      <c r="CN90" s="134">
        <f>CM90*$C$57</f>
        <v>0</v>
      </c>
      <c r="CO90" s="132">
        <f t="shared" si="117"/>
        <v>0</v>
      </c>
      <c r="CP90" s="140">
        <f t="shared" si="14"/>
        <v>0</v>
      </c>
      <c r="CQ90" s="121" t="str">
        <f>IF($C$50="NEIN","NEIN",IF(CS90&lt;CR90,"JA","NEIN"))</f>
        <v>NEIN</v>
      </c>
      <c r="CR90" s="121">
        <f>CO90*$C$46</f>
        <v>0</v>
      </c>
      <c r="CS90" s="121">
        <f t="shared" si="15"/>
        <v>0</v>
      </c>
      <c r="CT90" s="201">
        <f>IF($C$50="NEIN",CR90,IF(CQ90="NEIN",CR90,CS90))</f>
        <v>0</v>
      </c>
      <c r="CU90" s="149"/>
      <c r="CV90" s="202">
        <f t="shared" si="80"/>
        <v>9984</v>
      </c>
      <c r="CW90" s="134">
        <f>CV90*$C$57</f>
        <v>0</v>
      </c>
      <c r="CX90" s="142">
        <f t="shared" si="81"/>
        <v>14926</v>
      </c>
      <c r="CY90" s="134">
        <f>CX90*$C$57</f>
        <v>0</v>
      </c>
      <c r="CZ90" s="142">
        <f t="shared" si="82"/>
        <v>58596</v>
      </c>
      <c r="DA90" s="143">
        <f>CZ90*$C$57</f>
        <v>0</v>
      </c>
      <c r="DB90" s="165">
        <f t="shared" si="16"/>
        <v>0</v>
      </c>
      <c r="DC90" s="140">
        <f t="shared" si="50"/>
        <v>0</v>
      </c>
      <c r="DD90" s="121" t="str">
        <f>IF($C$50="NEIN","NEIN",IF(DF90&lt;DE90,"JA","NEIN"))</f>
        <v>NEIN</v>
      </c>
      <c r="DE90" s="121">
        <f>DB90*$C$46</f>
        <v>0</v>
      </c>
      <c r="DF90" s="121">
        <f t="shared" si="17"/>
        <v>0</v>
      </c>
      <c r="DG90" s="201">
        <f>IF($C$50="NEIN",DE90,IF(DD90="NEIN",DE90,DF90))</f>
        <v>0</v>
      </c>
      <c r="DH90" s="159"/>
      <c r="DK90" s="128"/>
      <c r="DL90" s="128"/>
      <c r="DM90" s="128"/>
      <c r="DO90" s="28">
        <f t="shared" si="83"/>
        <v>2031</v>
      </c>
      <c r="DP90" s="17">
        <f>IF($C$13+$C$10&gt;=DO90,-AG90,IF(DO90=$C$13+$C$10+1,$EK$93,0))</f>
        <v>-25701.192855521811</v>
      </c>
      <c r="DQ90" s="17">
        <f t="shared" si="84"/>
        <v>304548.75732541515</v>
      </c>
      <c r="DR90" s="17">
        <f t="shared" si="85"/>
        <v>353559.35848776717</v>
      </c>
      <c r="DS90" s="17">
        <f t="shared" si="51"/>
        <v>31795.792563214934</v>
      </c>
      <c r="DT90" s="17">
        <f t="shared" si="18"/>
        <v>412330.01162455091</v>
      </c>
      <c r="DU90" s="17">
        <f t="shared" si="86"/>
        <v>26974.860573568789</v>
      </c>
      <c r="DV90" s="33">
        <f t="shared" si="19"/>
        <v>188.82402401498123</v>
      </c>
      <c r="DW90" s="32">
        <f t="shared" si="20"/>
        <v>8246.6002324910187</v>
      </c>
      <c r="DX90" s="17">
        <f t="shared" si="87"/>
        <v>0</v>
      </c>
      <c r="DY90" s="17">
        <f t="shared" si="88"/>
        <v>0</v>
      </c>
      <c r="DZ90" s="17">
        <f t="shared" si="21"/>
        <v>0</v>
      </c>
      <c r="EA90" s="17">
        <f t="shared" si="53"/>
        <v>1311.2648179236542</v>
      </c>
      <c r="EB90" s="15">
        <f t="shared" si="54"/>
        <v>6935.3354145673648</v>
      </c>
      <c r="EC90" s="15">
        <f>IF(DP90=0,EC89,IF(DO90&lt;=$EK$88+$C$10,ABS(DP90)+EC89,EC89))</f>
        <v>273554.63110456424</v>
      </c>
      <c r="ED90" s="15">
        <f t="shared" si="89"/>
        <v>5898.5547642975489</v>
      </c>
      <c r="EE90" s="16">
        <f t="shared" si="90"/>
        <v>412330.01162455091</v>
      </c>
      <c r="EF90" s="15">
        <f t="shared" si="22"/>
        <v>6094.5997076931235</v>
      </c>
      <c r="EG90" s="15">
        <f t="shared" si="91"/>
        <v>30994.126220850991</v>
      </c>
      <c r="EH90" s="16"/>
      <c r="EI90" s="16"/>
      <c r="EJ90" s="38" t="s">
        <v>29</v>
      </c>
      <c r="EK90" s="48">
        <f>VLOOKUP(EK88+C10-1,DO80:EE179,17,FALSE)-VLOOKUP(EK88+C10-1,DO80:EE179,9,FALSE)</f>
        <v>789225.56338985485</v>
      </c>
      <c r="EL90" s="114"/>
      <c r="EM90" s="28">
        <f t="shared" si="92"/>
        <v>2031</v>
      </c>
      <c r="EN90" s="29">
        <f>IF($C$13+$C$10&gt;=EM90,-(AG90),IF(EM90=$C$13+$C$10+1,$FB$93,0))</f>
        <v>-25701.192855521811</v>
      </c>
      <c r="EO90" s="30">
        <f t="shared" si="93"/>
        <v>273554.63110456424</v>
      </c>
      <c r="EP90" s="30">
        <f t="shared" si="94"/>
        <v>365009.53708634007</v>
      </c>
      <c r="EQ90" s="30">
        <f t="shared" si="56"/>
        <v>25701.192855521811</v>
      </c>
      <c r="ER90" s="25">
        <f t="shared" si="23"/>
        <v>418060.48103779223</v>
      </c>
      <c r="ES90" s="30">
        <f t="shared" si="95"/>
        <v>27349.751095930347</v>
      </c>
      <c r="ET90" s="26">
        <f t="shared" si="24"/>
        <v>191.44825767151232</v>
      </c>
      <c r="EU90" s="30">
        <f t="shared" si="96"/>
        <v>191.44825767151232</v>
      </c>
      <c r="EV90" s="25">
        <f t="shared" si="25"/>
        <v>0</v>
      </c>
      <c r="EW90" s="31">
        <f t="shared" si="97"/>
        <v>1011.5409495325956</v>
      </c>
      <c r="EX90" s="27">
        <f>IF(EM90=0,EX89,IF(EM90&lt;=$FB$88+$C$10,ABS(EN90)+EX89,EX89))</f>
        <v>273554.63110456424</v>
      </c>
      <c r="EY90" s="15"/>
      <c r="EZ90"/>
      <c r="FA90" s="38" t="s">
        <v>29</v>
      </c>
      <c r="FB90" s="48">
        <f>VLOOKUP(FB88+$C$10-1,EM80:EW179,6,FALSE)</f>
        <v>827889.19479102397</v>
      </c>
      <c r="FJ90" s="28">
        <f t="shared" si="98"/>
        <v>2031</v>
      </c>
      <c r="FK90" s="65">
        <f>IF($C$13+$C$10&gt;=FJ90,-AG90,IF(FJ90=$C$13+$C$10+1,$EK$93,0))</f>
        <v>-25701.192855521811</v>
      </c>
      <c r="FL90" s="65">
        <f t="shared" si="99"/>
        <v>74118.803999999975</v>
      </c>
      <c r="FM90" s="65">
        <f t="shared" si="100"/>
        <v>113591.75096307557</v>
      </c>
      <c r="FN90" s="65">
        <f t="shared" si="59"/>
        <v>0</v>
      </c>
      <c r="FO90" s="65">
        <f t="shared" si="26"/>
        <v>121543.17353049087</v>
      </c>
      <c r="FP90" s="65">
        <f t="shared" si="101"/>
        <v>7951.4225674152985</v>
      </c>
      <c r="FQ90" s="59">
        <f t="shared" si="27"/>
        <v>55.659957971907026</v>
      </c>
      <c r="FR90" s="60">
        <f t="shared" si="28"/>
        <v>2430.8634706098173</v>
      </c>
      <c r="FS90" s="65">
        <f t="shared" si="102"/>
        <v>0</v>
      </c>
      <c r="FT90" s="65">
        <f t="shared" si="103"/>
        <v>0</v>
      </c>
      <c r="FU90" s="65">
        <f t="shared" si="29"/>
        <v>0</v>
      </c>
      <c r="FV90" s="65">
        <f t="shared" si="61"/>
        <v>237.53441826133746</v>
      </c>
      <c r="FW90" s="61">
        <f t="shared" si="62"/>
        <v>2193.3290523484798</v>
      </c>
      <c r="FX90" s="61">
        <f>IF(AND(FJ90&lt;=$GF$88+$C$10,FV89&lt;=0,FN90&gt;0),(FJ90-$C$10+1)*AG90+$GF$80,FX89)</f>
        <v>73074.599999999977</v>
      </c>
      <c r="FY90" s="62">
        <f t="shared" si="63"/>
        <v>1.1243500991596405</v>
      </c>
      <c r="FZ90" s="63">
        <f t="shared" si="104"/>
        <v>121543.17353049087</v>
      </c>
      <c r="GA90" s="64">
        <f t="shared" si="105"/>
        <v>2318.1989992464401</v>
      </c>
      <c r="GB90" s="64">
        <f t="shared" si="106"/>
        <v>17381.091872629964</v>
      </c>
      <c r="GC90" s="66">
        <f t="shared" si="30"/>
        <v>0</v>
      </c>
      <c r="GD90" s="64">
        <f t="shared" si="107"/>
        <v>1580.6039999999994</v>
      </c>
      <c r="GE90" s="38" t="s">
        <v>29</v>
      </c>
      <c r="GF90" s="48">
        <f>VLOOKUP(GF88+$C$10-1,FJ80:FZ179,17,FALSE)-VLOOKUP(GF88+$C$10-1,FJ80:FZ179,9,FALSE)</f>
        <v>158349.16138034069</v>
      </c>
      <c r="GI90" s="28">
        <f t="shared" si="108"/>
        <v>2031</v>
      </c>
      <c r="GJ90" s="9">
        <f>IF($GX$88+$C$10&gt;=GI90,-AG90,IF(GI90=$GX$88+$C$10+1,$FB$93,0))</f>
        <v>-25701.192855521811</v>
      </c>
      <c r="GK90" s="5">
        <f t="shared" si="109"/>
        <v>215512.31273019838</v>
      </c>
      <c r="GL90" s="5">
        <f t="shared" si="110"/>
        <v>247737.31158067647</v>
      </c>
      <c r="GM90" s="35">
        <f t="shared" si="65"/>
        <v>27781.712445781173</v>
      </c>
      <c r="GN90" s="4">
        <f t="shared" si="31"/>
        <v>294805.35570830968</v>
      </c>
      <c r="GO90" s="5">
        <f t="shared" si="111"/>
        <v>19286.331681852054</v>
      </c>
      <c r="GP90" s="5">
        <f t="shared" si="32"/>
        <v>135.00432177296423</v>
      </c>
      <c r="GQ90" s="5">
        <f t="shared" si="112"/>
        <v>135.00432177296423</v>
      </c>
      <c r="GR90" s="4">
        <f t="shared" si="33"/>
        <v>24.925172907333518</v>
      </c>
      <c r="GS90" s="7">
        <f t="shared" si="113"/>
        <v>555.05130084677876</v>
      </c>
      <c r="GT90" s="107" t="e">
        <f>IF($DG$62=0,EX90,IF(GI90-$C$10+1&lt;=$GF$98,0,#REF!-FX90))</f>
        <v>#REF!</v>
      </c>
      <c r="GU90"/>
      <c r="GV90"/>
      <c r="GW90" s="38" t="s">
        <v>29</v>
      </c>
      <c r="GX90" s="48">
        <f>VLOOKUP(GX88+C10-1,GI80:GS179,6,FALSE)</f>
        <v>661237.9880013261</v>
      </c>
    </row>
    <row r="91" spans="1:212" s="74" customFormat="1" ht="16.149999999999999" thickBot="1" x14ac:dyDescent="0.55000000000000004">
      <c r="A91" s="75"/>
      <c r="B91" s="331"/>
      <c r="C91" s="282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AB91" s="117" t="str">
        <f t="shared" si="34"/>
        <v/>
      </c>
      <c r="AC91" s="117" t="str">
        <f t="shared" si="35"/>
        <v/>
      </c>
      <c r="AD91" s="299">
        <f>IF($C$20="NEIN",$C$21,IF($C$22="JA",'HISTORISCHE RENDITEN'!E15,'HISTORISCHE RENDITEN'!D15))</f>
        <v>0.14749999999999999</v>
      </c>
      <c r="AE91" s="129">
        <f t="shared" si="116"/>
        <v>39</v>
      </c>
      <c r="AF91" s="120">
        <f t="shared" si="37"/>
        <v>2032</v>
      </c>
      <c r="AG91" s="122">
        <f t="shared" si="0"/>
        <v>25856.295530399289</v>
      </c>
      <c r="AH91" s="124">
        <f t="shared" si="38"/>
        <v>299410.92663496354</v>
      </c>
      <c r="AI91" s="296">
        <f t="shared" si="114"/>
        <v>787206.17711308401</v>
      </c>
      <c r="AJ91" s="123">
        <f t="shared" si="67"/>
        <v>25856.295530399289</v>
      </c>
      <c r="AK91" s="124">
        <f t="shared" si="68"/>
        <v>932989.18735839706</v>
      </c>
      <c r="AL91" s="122">
        <f t="shared" si="1"/>
        <v>119926.71471491375</v>
      </c>
      <c r="AM91" s="122">
        <f>IF($C$25="Ausschütter",0,IF(AL91&gt;=0,(AI91+AJ91)*$C$48*0.7))</f>
        <v>398.40061159530677</v>
      </c>
      <c r="AN91" s="122">
        <f t="shared" si="2"/>
        <v>0</v>
      </c>
      <c r="AO91" s="122">
        <f t="shared" si="39"/>
        <v>398.40061159530677</v>
      </c>
      <c r="AP91" s="122">
        <f t="shared" si="69"/>
        <v>1627.1788989926406</v>
      </c>
      <c r="AQ91" s="122">
        <f>IF($C$25="AUSSCHÜTTER",0,IF(AO91*$C$46*$C$49&lt;=$C$47,0,AO91*$C$46*$C$49))</f>
        <v>0</v>
      </c>
      <c r="AR91" s="122">
        <f>IF(AO90*$C$49&gt;$C$47,(AN91)*$C$49*$C$46,IF((AO90+AN91)*$C$49&gt;$C$47,((AO90+AN91)*$C$49-$C$47)*$C$46,0))</f>
        <v>0</v>
      </c>
      <c r="AS91" s="122">
        <f t="shared" si="70"/>
        <v>0</v>
      </c>
      <c r="AT91" s="122">
        <f t="shared" si="40"/>
        <v>299410.92663496354</v>
      </c>
      <c r="AU91" s="122">
        <f t="shared" si="115"/>
        <v>0</v>
      </c>
      <c r="AV91" s="122">
        <f t="shared" si="71"/>
        <v>932989.18735839706</v>
      </c>
      <c r="AW91" s="122">
        <f t="shared" si="41"/>
        <v>0</v>
      </c>
      <c r="AX91" s="130">
        <f t="shared" si="42"/>
        <v>0</v>
      </c>
      <c r="AY91" s="82">
        <f>IF(AF91&lt;$C$11,$C$15*(1+$C$19)^(AF91-$C$10),0)</f>
        <v>49473.855370822079</v>
      </c>
      <c r="AZ91" s="82">
        <f>$C$14*(1+$C$37)^(AF91-$C$10)</f>
        <v>23617.559840422789</v>
      </c>
      <c r="BA91" s="165">
        <f>IF(AF91&lt;$C$11,0,MAX($C$38*AI91,AZ91))</f>
        <v>0</v>
      </c>
      <c r="BB91" s="82">
        <f>IF(AF91&lt;$C$11,0,MAX($C$38*AI91,AZ91))</f>
        <v>0</v>
      </c>
      <c r="BC91" s="136">
        <f>IF($C$39="JA",CT91,DG91)</f>
        <v>0</v>
      </c>
      <c r="BD91" s="82">
        <f t="shared" si="3"/>
        <v>0</v>
      </c>
      <c r="BE91" s="82">
        <f>IF(AF91&lt;($C$8+$C$30),0,$C$29*12*(1-$C$31))</f>
        <v>0</v>
      </c>
      <c r="BF91" s="82">
        <f>IF(AF91&lt;($C$8+$C$34),0,$C$33*12*(1-$C$35))</f>
        <v>0</v>
      </c>
      <c r="BG91" s="82">
        <f>IF(AF91&lt;$C$11,0,IF(AI91&lt;0,$C$42*(1+$C$44)^(AF91-$C$10),IF(((AL91+BE91+BF91)*$C$41)&lt;$C$42*(1+$C$44)^(AF91-$C$10),$C$42*(1+$C$44)^(AF91-$C$10),IF(((AL91+BE91+BF91)*$C$41)&lt;$C$43*(1+$C$44)^(AF91-$C$10),(AL91+BE91+BF91)*$C$41,IF(((AL91+BE91+BF91+BB91)*$C$41)&lt;$C$43*(1+$C$44)^(AF91-$C$10),((AL91+BE91+BF91+BB91)*$C$41),$C$43*(1+$C$44)^(AF91-$C$10))))))</f>
        <v>0</v>
      </c>
      <c r="BH91" s="82">
        <f t="shared" si="72"/>
        <v>23617.559840422789</v>
      </c>
      <c r="BI91" s="242">
        <f t="shared" si="73"/>
        <v>956606.74719881988</v>
      </c>
      <c r="BJ91" s="217">
        <f t="shared" si="74"/>
        <v>932989.18735839706</v>
      </c>
      <c r="BK91" s="118"/>
      <c r="BL91" s="219">
        <f t="shared" si="4"/>
        <v>0</v>
      </c>
      <c r="BM91" s="220">
        <f t="shared" si="5"/>
        <v>12</v>
      </c>
      <c r="BN91" s="220">
        <f t="shared" si="6"/>
        <v>6</v>
      </c>
      <c r="BO91" s="221">
        <f t="shared" si="7"/>
        <v>42732.273713049319</v>
      </c>
      <c r="BP91" s="221">
        <f t="shared" si="8"/>
        <v>25856.295530399289</v>
      </c>
      <c r="BQ91" s="222">
        <f t="shared" si="9"/>
        <v>0.65268352780114669</v>
      </c>
      <c r="BR91" s="223">
        <f>IF(BM91&lt;$C$11-$C$10+1,0,IF(BL91&lt;=$C$13,VLOOKUP(BL91,$BN$80:$BQ$156,2,FALSE)-BS91,0))</f>
        <v>0</v>
      </c>
      <c r="BS91" s="223">
        <f>IF(BM91&lt;$C$11-$C$10+1,0,IF(BL91&lt;=$C$13,VLOOKUP(BL91,$BN$80:$BQ$156,3,FALSE),0))</f>
        <v>0</v>
      </c>
      <c r="BT91" s="222">
        <f>IF(BM91&lt;$C$11-$C$10+1,0,IF(BL91&lt;=$C$13,VLOOKUP(BL91,$BN$80:$BQ$156,4,FALSE),0))</f>
        <v>0</v>
      </c>
      <c r="BU91" s="223">
        <f t="shared" si="43"/>
        <v>0</v>
      </c>
      <c r="BV91" s="223">
        <f t="shared" si="44"/>
        <v>0</v>
      </c>
      <c r="BW91" s="223">
        <f t="shared" si="45"/>
        <v>0</v>
      </c>
      <c r="BX91" s="223">
        <f>IF(AND(BS91&lt;=0,BN91=0),MIN((MAX($BZ$80:$BZ$156)-SUM($BX$80:BX90)),CA91),IF(BS91&lt;CA91,BS91,CA91))</f>
        <v>0</v>
      </c>
      <c r="BY91" s="222">
        <f>IF(BN91&gt;0,0,IF(AND(BN91=0,BT91&lt;=0),100%,((BW90*(AVERAGE($BT$80:BT90))+(BR91*BT91))/(BR91+BW90+BS91+BV90))))</f>
        <v>0</v>
      </c>
      <c r="BZ91" s="139">
        <f t="shared" si="46"/>
        <v>299410.92663496354</v>
      </c>
      <c r="CA91" s="122">
        <f t="shared" si="10"/>
        <v>0</v>
      </c>
      <c r="CB91" s="181">
        <f t="shared" si="47"/>
        <v>0</v>
      </c>
      <c r="CC91" s="122">
        <f t="shared" si="48"/>
        <v>0</v>
      </c>
      <c r="CD91" s="182">
        <f t="shared" si="11"/>
        <v>0</v>
      </c>
      <c r="CE91" s="122">
        <f t="shared" si="75"/>
        <v>0</v>
      </c>
      <c r="CF91" s="122">
        <f t="shared" si="76"/>
        <v>299410.92663496354</v>
      </c>
      <c r="CG91" s="122" t="str">
        <f t="shared" si="12"/>
        <v/>
      </c>
      <c r="CH91" s="140">
        <f t="shared" si="13"/>
        <v>0</v>
      </c>
      <c r="CI91" s="142">
        <f t="shared" si="77"/>
        <v>9984</v>
      </c>
      <c r="CJ91" s="134">
        <f>CI91*$C$57</f>
        <v>0</v>
      </c>
      <c r="CK91" s="142">
        <f t="shared" si="78"/>
        <v>14926</v>
      </c>
      <c r="CL91" s="134">
        <f>CK91*$C$57</f>
        <v>0</v>
      </c>
      <c r="CM91" s="142">
        <f t="shared" si="79"/>
        <v>58596</v>
      </c>
      <c r="CN91" s="134">
        <f>CM91*$C$57</f>
        <v>0</v>
      </c>
      <c r="CO91" s="132">
        <f t="shared" si="117"/>
        <v>0</v>
      </c>
      <c r="CP91" s="140">
        <f t="shared" si="14"/>
        <v>0</v>
      </c>
      <c r="CQ91" s="121" t="str">
        <f>IF($C$50="NEIN","NEIN",IF(CS91&lt;CR91,"JA","NEIN"))</f>
        <v>NEIN</v>
      </c>
      <c r="CR91" s="121">
        <f>CO91*$C$46</f>
        <v>0</v>
      </c>
      <c r="CS91" s="121">
        <f t="shared" si="15"/>
        <v>0</v>
      </c>
      <c r="CT91" s="201">
        <f>IF($C$50="NEIN",CR91,IF(CQ91="NEIN",CR91,CS91))</f>
        <v>0</v>
      </c>
      <c r="CU91" s="149"/>
      <c r="CV91" s="202">
        <f t="shared" si="80"/>
        <v>9984</v>
      </c>
      <c r="CW91" s="134">
        <f>CV91*$C$57</f>
        <v>0</v>
      </c>
      <c r="CX91" s="142">
        <f t="shared" si="81"/>
        <v>14926</v>
      </c>
      <c r="CY91" s="134">
        <f>CX91*$C$57</f>
        <v>0</v>
      </c>
      <c r="CZ91" s="142">
        <f t="shared" si="82"/>
        <v>58596</v>
      </c>
      <c r="DA91" s="143">
        <f>CZ91*$C$57</f>
        <v>0</v>
      </c>
      <c r="DB91" s="165">
        <f t="shared" si="16"/>
        <v>0</v>
      </c>
      <c r="DC91" s="140">
        <f t="shared" si="50"/>
        <v>0</v>
      </c>
      <c r="DD91" s="121" t="str">
        <f>IF($C$50="NEIN","NEIN",IF(DF91&lt;DE91,"JA","NEIN"))</f>
        <v>NEIN</v>
      </c>
      <c r="DE91" s="121">
        <f>DB91*$C$46</f>
        <v>0</v>
      </c>
      <c r="DF91" s="121">
        <f t="shared" si="17"/>
        <v>0</v>
      </c>
      <c r="DG91" s="201">
        <f>IF($C$50="NEIN",DE91,IF(DD91="NEIN",DE91,DF91))</f>
        <v>0</v>
      </c>
      <c r="DH91" s="159"/>
      <c r="DK91" s="128"/>
      <c r="DL91" s="128"/>
      <c r="DM91" s="128"/>
      <c r="DO91" s="28">
        <f t="shared" si="83"/>
        <v>2032</v>
      </c>
      <c r="DP91" s="17">
        <f>IF($C$13+$C$10&gt;=DO91,-AG91,IF(DO91=$C$13+$C$10+1,$EK$93,0))</f>
        <v>-25856.295530399289</v>
      </c>
      <c r="DQ91" s="17">
        <f t="shared" si="84"/>
        <v>337340.38827038178</v>
      </c>
      <c r="DR91" s="17">
        <f t="shared" si="85"/>
        <v>404083.41139205988</v>
      </c>
      <c r="DS91" s="17">
        <f t="shared" si="51"/>
        <v>32791.630944966651</v>
      </c>
      <c r="DT91" s="17">
        <f t="shared" si="18"/>
        <v>467456.2953006184</v>
      </c>
      <c r="DU91" s="17">
        <f t="shared" si="86"/>
        <v>30581.252963591891</v>
      </c>
      <c r="DV91" s="33">
        <f t="shared" si="19"/>
        <v>214.06877074514298</v>
      </c>
      <c r="DW91" s="32">
        <f t="shared" si="20"/>
        <v>9349.1259060123684</v>
      </c>
      <c r="DX91" s="17">
        <f t="shared" si="87"/>
        <v>0</v>
      </c>
      <c r="DY91" s="17">
        <f t="shared" si="88"/>
        <v>0</v>
      </c>
      <c r="DZ91" s="17">
        <f t="shared" si="21"/>
        <v>0</v>
      </c>
      <c r="EA91" s="17">
        <f t="shared" si="53"/>
        <v>1514.8186203975333</v>
      </c>
      <c r="EB91" s="15">
        <f t="shared" si="54"/>
        <v>7834.3072856148356</v>
      </c>
      <c r="EC91" s="15">
        <f>IF(DP91=0,EC90,IF(DO91&lt;=$EK$88+$C$10,ABS(DP91)+EC90,EC90))</f>
        <v>299410.92663496354</v>
      </c>
      <c r="ED91" s="15">
        <f t="shared" si="89"/>
        <v>7413.3733846950818</v>
      </c>
      <c r="EE91" s="16">
        <f t="shared" si="90"/>
        <v>467456.2953006184</v>
      </c>
      <c r="EF91" s="15">
        <f t="shared" si="22"/>
        <v>6935.335414567362</v>
      </c>
      <c r="EG91" s="15">
        <f t="shared" si="91"/>
        <v>37929.461635418353</v>
      </c>
      <c r="EH91" s="16"/>
      <c r="EI91" s="16"/>
      <c r="EJ91" s="38" t="s">
        <v>34</v>
      </c>
      <c r="EK91" s="49">
        <f>IF(EK90-EK94&lt;EK87,0,EK90-EK94-EK96-EK87)</f>
        <v>270139.52188363404</v>
      </c>
      <c r="EL91" s="115"/>
      <c r="EM91" s="28">
        <f t="shared" si="92"/>
        <v>2032</v>
      </c>
      <c r="EN91" s="29">
        <f>IF($C$13+$C$10&gt;=EM91,-(AG91),IF(EM91=$C$13+$C$10+1,$FB$93,0))</f>
        <v>-25856.295530399289</v>
      </c>
      <c r="EO91" s="30">
        <f t="shared" si="93"/>
        <v>299410.92663496354</v>
      </c>
      <c r="EP91" s="30">
        <f t="shared" si="94"/>
        <v>418060.48103779223</v>
      </c>
      <c r="EQ91" s="30">
        <f t="shared" si="56"/>
        <v>25856.295530399289</v>
      </c>
      <c r="ER91" s="25">
        <f t="shared" si="23"/>
        <v>474990.95092796499</v>
      </c>
      <c r="ES91" s="30">
        <f t="shared" si="95"/>
        <v>31074.17435977346</v>
      </c>
      <c r="ET91" s="26">
        <f t="shared" si="24"/>
        <v>217.51922051841382</v>
      </c>
      <c r="EU91" s="30">
        <f t="shared" si="96"/>
        <v>217.51922051841382</v>
      </c>
      <c r="EV91" s="25">
        <f t="shared" si="25"/>
        <v>0</v>
      </c>
      <c r="EW91" s="31">
        <f t="shared" si="97"/>
        <v>1229.0601700510094</v>
      </c>
      <c r="EX91" s="27">
        <f>IF(EM91=0,EX90,IF(EM91&lt;=$FB$88+$C$10,ABS(EN91)+EX90,EX90))</f>
        <v>299410.92663496354</v>
      </c>
      <c r="EY91" s="15"/>
      <c r="EZ91"/>
      <c r="FA91" s="38" t="s">
        <v>34</v>
      </c>
      <c r="FB91" s="49">
        <f>IF(FB90-FB94&lt;FB87,0,FB90-FB94-VLOOKUP($FB$88+$C$10-1,EM80:EY179,11,FALSE)-FB87)</f>
        <v>393417.43449048977</v>
      </c>
      <c r="FJ91" s="28">
        <f t="shared" si="98"/>
        <v>2032</v>
      </c>
      <c r="FK91" s="65">
        <f>IF($C$13+$C$10&gt;=FJ91,-AG91,IF(FJ91=$C$13+$C$10+1,$EK$93,0))</f>
        <v>-25856.295530399289</v>
      </c>
      <c r="FL91" s="65">
        <f t="shared" si="99"/>
        <v>74118.803999999975</v>
      </c>
      <c r="FM91" s="65">
        <f t="shared" si="100"/>
        <v>119112.31005988104</v>
      </c>
      <c r="FN91" s="65">
        <f t="shared" si="59"/>
        <v>0</v>
      </c>
      <c r="FO91" s="65">
        <f t="shared" si="26"/>
        <v>127450.17176407271</v>
      </c>
      <c r="FP91" s="65">
        <f t="shared" si="101"/>
        <v>8337.8617041916732</v>
      </c>
      <c r="FQ91" s="59">
        <f t="shared" si="27"/>
        <v>58.365031929341704</v>
      </c>
      <c r="FR91" s="60">
        <f t="shared" si="28"/>
        <v>2549.0034352814541</v>
      </c>
      <c r="FS91" s="65">
        <f t="shared" si="102"/>
        <v>0</v>
      </c>
      <c r="FT91" s="65">
        <f t="shared" si="103"/>
        <v>0</v>
      </c>
      <c r="FU91" s="65">
        <f t="shared" si="29"/>
        <v>0</v>
      </c>
      <c r="FV91" s="65">
        <f t="shared" si="61"/>
        <v>259.34600923883846</v>
      </c>
      <c r="FW91" s="61">
        <f t="shared" si="62"/>
        <v>2289.6574260426155</v>
      </c>
      <c r="FX91" s="61">
        <f>IF(AND(FJ91&lt;=$GF$88+$C$10,FV90&lt;=0,FN91&gt;0),(FJ91-$C$10+1)*AG91+$GF$80,FX90)</f>
        <v>73074.599999999977</v>
      </c>
      <c r="FY91" s="62">
        <f t="shared" si="63"/>
        <v>1.2275935139787988</v>
      </c>
      <c r="FZ91" s="63">
        <f t="shared" si="104"/>
        <v>127450.17176407271</v>
      </c>
      <c r="GA91" s="64">
        <f t="shared" si="105"/>
        <v>2430.8634706098173</v>
      </c>
      <c r="GB91" s="64">
        <f t="shared" si="106"/>
        <v>19811.955343239781</v>
      </c>
      <c r="GC91" s="66">
        <f t="shared" si="30"/>
        <v>0</v>
      </c>
      <c r="GD91" s="64">
        <f t="shared" si="107"/>
        <v>1580.6039999999994</v>
      </c>
      <c r="GE91" s="38" t="s">
        <v>34</v>
      </c>
      <c r="GF91" s="49">
        <f>IF(GF90-GF94&lt;GF87,0,GF90-GF94-GF96-GF87)</f>
        <v>82892.957380340726</v>
      </c>
      <c r="GI91" s="28">
        <f t="shared" si="108"/>
        <v>2032</v>
      </c>
      <c r="GJ91" s="9">
        <f>IF($GX$88+$C$10&gt;=GI91,-AG91,IF(GI91=$GX$88+$C$10+1,$FB$93,0))</f>
        <v>-25856.295530399289</v>
      </c>
      <c r="GK91" s="5">
        <f t="shared" si="109"/>
        <v>243537.0121400388</v>
      </c>
      <c r="GL91" s="5">
        <f t="shared" si="110"/>
        <v>294805.35570830968</v>
      </c>
      <c r="GM91" s="35">
        <f t="shared" si="65"/>
        <v>28024.699409840436</v>
      </c>
      <c r="GN91" s="4">
        <f t="shared" si="31"/>
        <v>345428.15897642064</v>
      </c>
      <c r="GO91" s="5">
        <f t="shared" si="111"/>
        <v>22598.103858270508</v>
      </c>
      <c r="GP91" s="5">
        <f t="shared" si="32"/>
        <v>158.18672700789355</v>
      </c>
      <c r="GQ91" s="5">
        <f t="shared" si="112"/>
        <v>158.18672700789355</v>
      </c>
      <c r="GR91" s="4">
        <f t="shared" si="33"/>
        <v>29.205224473832342</v>
      </c>
      <c r="GS91" s="7">
        <f t="shared" si="113"/>
        <v>713.23802785467228</v>
      </c>
      <c r="GT91" s="107" t="e">
        <f>IF($DG$62=0,EX91,IF(GI91-$C$10+1&lt;=$GF$98,0,#REF!-FX91))</f>
        <v>#REF!</v>
      </c>
      <c r="GU91"/>
      <c r="GV91"/>
      <c r="GW91" s="38" t="s">
        <v>34</v>
      </c>
      <c r="GX91" s="49" t="e">
        <f>IF(GX90-GX94-GX96&lt;GX87,0,GX90-GX94-GX96-VLOOKUP(GX88+C10-1,GI80:GU179,11,FALSE)-GX87)</f>
        <v>#REF!</v>
      </c>
    </row>
    <row r="92" spans="1:212" s="74" customFormat="1" ht="16.149999999999999" thickBot="1" x14ac:dyDescent="0.55000000000000004">
      <c r="A92" s="75"/>
      <c r="B92" s="331"/>
      <c r="C92" s="282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AB92" s="117" t="str">
        <f t="shared" si="34"/>
        <v/>
      </c>
      <c r="AC92" s="117" t="str">
        <f t="shared" si="35"/>
        <v/>
      </c>
      <c r="AD92" s="299">
        <f>IF($C$20="NEIN",$C$21,IF($C$22="JA",'HISTORISCHE RENDITEN'!E16,'HISTORISCHE RENDITEN'!D16))</f>
        <v>-0.1865</v>
      </c>
      <c r="AE92" s="129">
        <f t="shared" si="116"/>
        <v>40</v>
      </c>
      <c r="AF92" s="120">
        <f t="shared" si="37"/>
        <v>2033</v>
      </c>
      <c r="AG92" s="122">
        <f t="shared" si="0"/>
        <v>26007.96436495104</v>
      </c>
      <c r="AH92" s="124">
        <f t="shared" si="38"/>
        <v>325418.89099991461</v>
      </c>
      <c r="AI92" s="296">
        <f t="shared" si="114"/>
        <v>932989.18735839706</v>
      </c>
      <c r="AJ92" s="123">
        <f t="shared" si="67"/>
        <v>26007.96436495104</v>
      </c>
      <c r="AK92" s="124">
        <f t="shared" si="68"/>
        <v>780144.18292694364</v>
      </c>
      <c r="AL92" s="122">
        <f t="shared" si="1"/>
        <v>-178852.96879640443</v>
      </c>
      <c r="AM92" s="122" t="b">
        <f>IF($C$25="Ausschütter",0,IF(AL92&gt;=0,(AI92+AJ92)*$C$48*0.7))</f>
        <v>0</v>
      </c>
      <c r="AN92" s="122">
        <f t="shared" si="2"/>
        <v>0</v>
      </c>
      <c r="AO92" s="122">
        <f t="shared" si="39"/>
        <v>0</v>
      </c>
      <c r="AP92" s="122">
        <f t="shared" si="69"/>
        <v>1627.1788989926406</v>
      </c>
      <c r="AQ92" s="122">
        <f>IF($C$25="AUSSCHÜTTER",0,IF(AO92*$C$46*$C$49&lt;=$C$47,0,AO92*$C$46*$C$49))</f>
        <v>0</v>
      </c>
      <c r="AR92" s="122">
        <f>IF(AO91*$C$49&gt;$C$47,(AN92)*$C$49*$C$46,IF((AO91+AN92)*$C$49&gt;$C$47,((AO91+AN92)*$C$49-$C$47)*$C$46,0))</f>
        <v>0</v>
      </c>
      <c r="AS92" s="122">
        <f t="shared" si="70"/>
        <v>0</v>
      </c>
      <c r="AT92" s="122">
        <f t="shared" si="40"/>
        <v>325418.89099991461</v>
      </c>
      <c r="AU92" s="122">
        <f t="shared" si="115"/>
        <v>0</v>
      </c>
      <c r="AV92" s="122">
        <f t="shared" si="71"/>
        <v>780144.18292694364</v>
      </c>
      <c r="AW92" s="122">
        <f t="shared" si="41"/>
        <v>0</v>
      </c>
      <c r="AX92" s="130">
        <f t="shared" si="42"/>
        <v>0</v>
      </c>
      <c r="AY92" s="82">
        <f>IF(AF92&lt;$C$11,$C$15*(1+$C$19)^(AF92-$C$10),0)</f>
        <v>50215.963201384395</v>
      </c>
      <c r="AZ92" s="82">
        <f>$C$14*(1+$C$37)^(AF92-$C$10)</f>
        <v>24207.998836433355</v>
      </c>
      <c r="BA92" s="165">
        <f>IF(AF92&lt;$C$11,0,MAX($C$38*AI92,AZ92))</f>
        <v>0</v>
      </c>
      <c r="BB92" s="82">
        <f>IF(AF92&lt;$C$11,0,MAX($C$38*AI92,AZ92))</f>
        <v>0</v>
      </c>
      <c r="BC92" s="136">
        <f>IF($C$39="JA",CT92,DG92)</f>
        <v>0</v>
      </c>
      <c r="BD92" s="82">
        <f t="shared" si="3"/>
        <v>0</v>
      </c>
      <c r="BE92" s="82">
        <f>IF(AF92&lt;($C$8+$C$30),0,$C$29*12*(1-$C$31))</f>
        <v>0</v>
      </c>
      <c r="BF92" s="82">
        <f>IF(AF92&lt;($C$8+$C$34),0,$C$33*12*(1-$C$35))</f>
        <v>0</v>
      </c>
      <c r="BG92" s="82">
        <f>IF(AF92&lt;$C$11,0,IF(AI92&lt;0,$C$42*(1+$C$44)^(AF92-$C$10),IF(((AL92+BE92+BF92)*$C$41)&lt;$C$42*(1+$C$44)^(AF92-$C$10),$C$42*(1+$C$44)^(AF92-$C$10),IF(((AL92+BE92+BF92)*$C$41)&lt;$C$43*(1+$C$44)^(AF92-$C$10),(AL92+BE92+BF92)*$C$41,IF(((AL92+BE92+BF92+BB92)*$C$41)&lt;$C$43*(1+$C$44)^(AF92-$C$10),((AL92+BE92+BF92+BB92)*$C$41),$C$43*(1+$C$44)^(AF92-$C$10))))))</f>
        <v>0</v>
      </c>
      <c r="BH92" s="82">
        <f t="shared" si="72"/>
        <v>24207.998836433355</v>
      </c>
      <c r="BI92" s="242">
        <f t="shared" si="73"/>
        <v>804352.18176337704</v>
      </c>
      <c r="BJ92" s="217">
        <f t="shared" si="74"/>
        <v>780144.18292694364</v>
      </c>
      <c r="BK92" s="118"/>
      <c r="BL92" s="219">
        <f t="shared" si="4"/>
        <v>0</v>
      </c>
      <c r="BM92" s="220">
        <f t="shared" si="5"/>
        <v>13</v>
      </c>
      <c r="BN92" s="220">
        <f t="shared" si="6"/>
        <v>5</v>
      </c>
      <c r="BO92" s="221">
        <f t="shared" si="7"/>
        <v>39530.39101672882</v>
      </c>
      <c r="BP92" s="221">
        <f t="shared" si="8"/>
        <v>26007.96436495104</v>
      </c>
      <c r="BQ92" s="222">
        <f t="shared" si="9"/>
        <v>0.51993406565878453</v>
      </c>
      <c r="BR92" s="223">
        <f>IF(BM92&lt;$C$11-$C$10+1,0,IF(BL92&lt;=$C$13,VLOOKUP(BL92,$BN$80:$BQ$156,2,FALSE)-BS92,0))</f>
        <v>0</v>
      </c>
      <c r="BS92" s="223">
        <f>IF(BM92&lt;$C$11-$C$10+1,0,IF(BL92&lt;=$C$13,VLOOKUP(BL92,$BN$80:$BQ$156,3,FALSE),0))</f>
        <v>0</v>
      </c>
      <c r="BT92" s="222">
        <f>IF(BM92&lt;$C$11-$C$10+1,0,IF(BL92&lt;=$C$13,VLOOKUP(BL92,$BN$80:$BQ$156,4,FALSE),0))</f>
        <v>0</v>
      </c>
      <c r="BU92" s="223">
        <f t="shared" si="43"/>
        <v>0</v>
      </c>
      <c r="BV92" s="223">
        <f t="shared" si="44"/>
        <v>0</v>
      </c>
      <c r="BW92" s="223">
        <f t="shared" si="45"/>
        <v>0</v>
      </c>
      <c r="BX92" s="223">
        <f>IF(AND(BS92&lt;=0,BN92=0),MIN((MAX($BZ$80:$BZ$156)-SUM($BX$80:BX91)),CA92),IF(BS92&lt;CA92,BS92,CA92))</f>
        <v>0</v>
      </c>
      <c r="BY92" s="222">
        <f>IF(BN92&gt;0,0,IF(AND(BN92=0,BT92&lt;=0),100%,((BW91*(AVERAGE($BT$80:BT91))+(BR92*BT92))/(BR92+BW91+BS92+BV91))))</f>
        <v>0</v>
      </c>
      <c r="BZ92" s="139">
        <f t="shared" si="46"/>
        <v>325418.89099991461</v>
      </c>
      <c r="CA92" s="122">
        <f t="shared" si="10"/>
        <v>0</v>
      </c>
      <c r="CB92" s="181">
        <f t="shared" si="47"/>
        <v>0</v>
      </c>
      <c r="CC92" s="122">
        <f t="shared" si="48"/>
        <v>0</v>
      </c>
      <c r="CD92" s="182">
        <f t="shared" si="11"/>
        <v>0</v>
      </c>
      <c r="CE92" s="122">
        <f t="shared" si="75"/>
        <v>0</v>
      </c>
      <c r="CF92" s="122">
        <f t="shared" si="76"/>
        <v>325418.89099991461</v>
      </c>
      <c r="CG92" s="122" t="str">
        <f t="shared" si="12"/>
        <v/>
      </c>
      <c r="CH92" s="140">
        <f t="shared" si="13"/>
        <v>0</v>
      </c>
      <c r="CI92" s="142">
        <f t="shared" si="77"/>
        <v>9984</v>
      </c>
      <c r="CJ92" s="134">
        <f>CI92*$C$57</f>
        <v>0</v>
      </c>
      <c r="CK92" s="142">
        <f t="shared" si="78"/>
        <v>14926</v>
      </c>
      <c r="CL92" s="134">
        <f>CK92*$C$57</f>
        <v>0</v>
      </c>
      <c r="CM92" s="142">
        <f t="shared" si="79"/>
        <v>58596</v>
      </c>
      <c r="CN92" s="134">
        <f>CM92*$C$57</f>
        <v>0</v>
      </c>
      <c r="CO92" s="132">
        <f t="shared" si="117"/>
        <v>0</v>
      </c>
      <c r="CP92" s="140">
        <f t="shared" si="14"/>
        <v>0</v>
      </c>
      <c r="CQ92" s="121" t="str">
        <f>IF($C$50="NEIN","NEIN",IF(CS92&lt;CR92,"JA","NEIN"))</f>
        <v>NEIN</v>
      </c>
      <c r="CR92" s="121">
        <f>CO92*$C$46</f>
        <v>0</v>
      </c>
      <c r="CS92" s="121">
        <f t="shared" si="15"/>
        <v>0</v>
      </c>
      <c r="CT92" s="201">
        <f>IF($C$50="NEIN",CR92,IF(CQ92="NEIN",CR92,CS92))</f>
        <v>0</v>
      </c>
      <c r="CU92" s="149"/>
      <c r="CV92" s="202">
        <f t="shared" si="80"/>
        <v>9984</v>
      </c>
      <c r="CW92" s="134">
        <f>CV92*$C$57</f>
        <v>0</v>
      </c>
      <c r="CX92" s="142">
        <f t="shared" si="81"/>
        <v>14926</v>
      </c>
      <c r="CY92" s="134">
        <f>CX92*$C$57</f>
        <v>0</v>
      </c>
      <c r="CZ92" s="142">
        <f t="shared" si="82"/>
        <v>58596</v>
      </c>
      <c r="DA92" s="143">
        <f>CZ92*$C$57</f>
        <v>0</v>
      </c>
      <c r="DB92" s="165">
        <f t="shared" si="16"/>
        <v>0</v>
      </c>
      <c r="DC92" s="140">
        <f t="shared" si="50"/>
        <v>0</v>
      </c>
      <c r="DD92" s="121" t="str">
        <f>IF($C$50="NEIN","NEIN",IF(DF92&lt;DE92,"JA","NEIN"))</f>
        <v>NEIN</v>
      </c>
      <c r="DE92" s="121">
        <f>DB92*$C$46</f>
        <v>0</v>
      </c>
      <c r="DF92" s="121">
        <f t="shared" si="17"/>
        <v>0</v>
      </c>
      <c r="DG92" s="201">
        <f>IF($C$50="NEIN",DE92,IF(DD92="NEIN",DE92,DF92))</f>
        <v>0</v>
      </c>
      <c r="DH92" s="159"/>
      <c r="DK92" s="128"/>
      <c r="DL92" s="128"/>
      <c r="DM92" s="128"/>
      <c r="DO92" s="28">
        <f t="shared" si="83"/>
        <v>2033</v>
      </c>
      <c r="DP92" s="17">
        <f>IF($C$13+$C$10&gt;=DO92,-AG92,IF(DO92=$C$13+$C$10+1,$EK$93,0))</f>
        <v>-26007.96436495104</v>
      </c>
      <c r="DQ92" s="17">
        <f t="shared" si="84"/>
        <v>371182.65992094763</v>
      </c>
      <c r="DR92" s="17">
        <f t="shared" si="85"/>
        <v>458107.16939460603</v>
      </c>
      <c r="DS92" s="17">
        <f t="shared" si="51"/>
        <v>33842.271650565875</v>
      </c>
      <c r="DT92" s="17">
        <f t="shared" si="18"/>
        <v>526385.90191833396</v>
      </c>
      <c r="DU92" s="17">
        <f t="shared" si="86"/>
        <v>34436.460873162025</v>
      </c>
      <c r="DV92" s="33">
        <f t="shared" si="19"/>
        <v>241.05522611213425</v>
      </c>
      <c r="DW92" s="32">
        <f t="shared" si="20"/>
        <v>10527.71803836668</v>
      </c>
      <c r="DX92" s="17">
        <f t="shared" si="87"/>
        <v>0</v>
      </c>
      <c r="DY92" s="17">
        <f t="shared" si="88"/>
        <v>0</v>
      </c>
      <c r="DZ92" s="17">
        <f t="shared" si="21"/>
        <v>0</v>
      </c>
      <c r="EA92" s="17">
        <f t="shared" si="53"/>
        <v>1732.4161928334481</v>
      </c>
      <c r="EB92" s="15">
        <f t="shared" si="54"/>
        <v>8795.3018455332312</v>
      </c>
      <c r="EC92" s="15">
        <f>IF(DP92=0,EC91,IF(DO92&lt;=$EK$88+$C$10,ABS(DP92)+EC91,EC91))</f>
        <v>325418.89099991461</v>
      </c>
      <c r="ED92" s="15">
        <f t="shared" si="89"/>
        <v>9145.7895775285306</v>
      </c>
      <c r="EE92" s="16">
        <f t="shared" si="90"/>
        <v>526385.90191833396</v>
      </c>
      <c r="EF92" s="15">
        <f t="shared" si="22"/>
        <v>7834.3072856148356</v>
      </c>
      <c r="EG92" s="15">
        <f t="shared" si="91"/>
        <v>45763.768921033188</v>
      </c>
      <c r="EH92" s="16"/>
      <c r="EI92" s="16"/>
      <c r="EJ92" s="38" t="s">
        <v>27</v>
      </c>
      <c r="EK92" s="50">
        <f>(EK91)*EK84*EK86+VLOOKUP(EK88+C10-1,DO80:EA179,13,FALSE)</f>
        <v>52636.934654109842</v>
      </c>
      <c r="EL92" s="116"/>
      <c r="EM92" s="28">
        <f t="shared" si="92"/>
        <v>2033</v>
      </c>
      <c r="EN92" s="29">
        <f>IF($C$13+$C$10&gt;=EM92,-(AG92),IF(EM92=$C$13+$C$10+1,$FB$93,0))</f>
        <v>-26007.96436495104</v>
      </c>
      <c r="EO92" s="30">
        <f t="shared" si="93"/>
        <v>325418.89099991461</v>
      </c>
      <c r="EP92" s="30">
        <f t="shared" si="94"/>
        <v>474990.95092796499</v>
      </c>
      <c r="EQ92" s="30">
        <f t="shared" si="56"/>
        <v>26007.96436495104</v>
      </c>
      <c r="ER92" s="25">
        <f t="shared" si="23"/>
        <v>536068.83936342015</v>
      </c>
      <c r="ES92" s="30">
        <f t="shared" si="95"/>
        <v>35069.924070504145</v>
      </c>
      <c r="ET92" s="26">
        <f t="shared" si="24"/>
        <v>245.48946849352882</v>
      </c>
      <c r="EU92" s="30">
        <f t="shared" si="96"/>
        <v>245.48946849352882</v>
      </c>
      <c r="EV92" s="25">
        <f t="shared" si="25"/>
        <v>0</v>
      </c>
      <c r="EW92" s="31">
        <f t="shared" si="97"/>
        <v>1474.5496385445383</v>
      </c>
      <c r="EX92" s="27">
        <f>IF(EM92=0,EX91,IF(EM92&lt;=$FB$88+$C$10,ABS(EN92)+EX91,EX91))</f>
        <v>325418.89099991461</v>
      </c>
      <c r="EY92" s="15"/>
      <c r="EZ92"/>
      <c r="FA92" s="38" t="s">
        <v>27</v>
      </c>
      <c r="FB92" s="50">
        <f>(FB91)*$FB$84*$FB$86</f>
        <v>72634.693842806664</v>
      </c>
      <c r="FJ92" s="28">
        <f t="shared" si="98"/>
        <v>2033</v>
      </c>
      <c r="FK92" s="65">
        <f>IF($C$13+$C$10&gt;=FJ92,-AG92,IF(FJ92=$C$13+$C$10+1,$EK$93,0))</f>
        <v>-26007.96436495104</v>
      </c>
      <c r="FL92" s="65">
        <f t="shared" si="99"/>
        <v>74118.803999999975</v>
      </c>
      <c r="FM92" s="65">
        <f t="shared" si="100"/>
        <v>124901.16832879126</v>
      </c>
      <c r="FN92" s="65">
        <f t="shared" si="59"/>
        <v>0</v>
      </c>
      <c r="FO92" s="65">
        <f t="shared" si="26"/>
        <v>133644.25011180664</v>
      </c>
      <c r="FP92" s="65">
        <f t="shared" si="101"/>
        <v>8743.0817830153828</v>
      </c>
      <c r="FQ92" s="59">
        <f t="shared" si="27"/>
        <v>61.201572481107718</v>
      </c>
      <c r="FR92" s="60">
        <f t="shared" si="28"/>
        <v>2672.885002236133</v>
      </c>
      <c r="FS92" s="65">
        <f t="shared" si="102"/>
        <v>0</v>
      </c>
      <c r="FT92" s="65">
        <f t="shared" si="103"/>
        <v>0</v>
      </c>
      <c r="FU92" s="65">
        <f t="shared" si="29"/>
        <v>0</v>
      </c>
      <c r="FV92" s="65">
        <f t="shared" si="61"/>
        <v>282.21764353784602</v>
      </c>
      <c r="FW92" s="61">
        <f t="shared" si="62"/>
        <v>2390.667358698287</v>
      </c>
      <c r="FX92" s="61">
        <f>IF(AND(FJ92&lt;=$GF$88+$C$10,FV91&lt;=0,FN92&gt;0),(FJ92-$C$10+1)*AG92+$GF$80,FX91)</f>
        <v>73074.599999999977</v>
      </c>
      <c r="FY92" s="62">
        <f t="shared" si="63"/>
        <v>1.3358545587581685</v>
      </c>
      <c r="FZ92" s="63">
        <f t="shared" si="104"/>
        <v>133644.25011180664</v>
      </c>
      <c r="GA92" s="64">
        <f t="shared" si="105"/>
        <v>2549.0034352814541</v>
      </c>
      <c r="GB92" s="64">
        <f t="shared" si="106"/>
        <v>22360.958778521235</v>
      </c>
      <c r="GC92" s="66">
        <f t="shared" si="30"/>
        <v>0</v>
      </c>
      <c r="GD92" s="64">
        <f t="shared" si="107"/>
        <v>1580.6039999999994</v>
      </c>
      <c r="GE92" s="38" t="s">
        <v>27</v>
      </c>
      <c r="GF92" s="50">
        <f>(GF91)*GF84*GF86+VLOOKUP(GF88+C10-1,FJ80:FV179,13,FALSE)</f>
        <v>15689.48552511776</v>
      </c>
      <c r="GI92" s="28">
        <f t="shared" si="108"/>
        <v>2033</v>
      </c>
      <c r="GJ92" s="9">
        <f>IF($GX$88+$C$10&gt;=GI92,-AG92,IF(GI92=$GX$88+$C$10+1,$FB$93,0))</f>
        <v>-26007.96436495104</v>
      </c>
      <c r="GK92" s="5">
        <f t="shared" si="109"/>
        <v>271805.42870655865</v>
      </c>
      <c r="GL92" s="5">
        <f t="shared" si="110"/>
        <v>345428.15897642064</v>
      </c>
      <c r="GM92" s="35">
        <f t="shared" si="65"/>
        <v>28268.416566519823</v>
      </c>
      <c r="GN92" s="4">
        <f t="shared" si="31"/>
        <v>399855.33583094634</v>
      </c>
      <c r="GO92" s="5">
        <f t="shared" si="111"/>
        <v>26158.760288005869</v>
      </c>
      <c r="GP92" s="5">
        <f t="shared" si="32"/>
        <v>183.11132201604082</v>
      </c>
      <c r="GQ92" s="5">
        <f t="shared" si="112"/>
        <v>183.11132201604082</v>
      </c>
      <c r="GR92" s="4">
        <f t="shared" si="33"/>
        <v>33.806927827211531</v>
      </c>
      <c r="GS92" s="7">
        <f t="shared" si="113"/>
        <v>896.34934987071313</v>
      </c>
      <c r="GT92" s="107" t="e">
        <f>IF($DG$62=0,EX92,IF(GI92-$C$10+1&lt;=$GF$98,0,#REF!-FX92))</f>
        <v>#REF!</v>
      </c>
      <c r="GU92"/>
      <c r="GV92"/>
      <c r="GW92" s="38" t="s">
        <v>27</v>
      </c>
      <c r="GX92" s="50" t="e">
        <f>(GX91)*GX84*GX86</f>
        <v>#REF!</v>
      </c>
    </row>
    <row r="93" spans="1:212" s="74" customFormat="1" ht="16.149999999999999" thickBot="1" x14ac:dyDescent="0.55000000000000004">
      <c r="A93" s="75"/>
      <c r="B93" s="331"/>
      <c r="C93" s="282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AB93" s="117" t="str">
        <f t="shared" si="34"/>
        <v/>
      </c>
      <c r="AC93" s="117" t="str">
        <f t="shared" si="35"/>
        <v/>
      </c>
      <c r="AD93" s="299">
        <f>IF($C$20="NEIN",$C$21,IF($C$22="JA",'HISTORISCHE RENDITEN'!E17,'HISTORISCHE RENDITEN'!D17))</f>
        <v>0.16</v>
      </c>
      <c r="AE93" s="129">
        <f t="shared" si="116"/>
        <v>41</v>
      </c>
      <c r="AF93" s="120">
        <f t="shared" si="37"/>
        <v>2034</v>
      </c>
      <c r="AG93" s="122">
        <f t="shared" si="0"/>
        <v>26156.003842060971</v>
      </c>
      <c r="AH93" s="124">
        <f t="shared" si="38"/>
        <v>351574.89484197559</v>
      </c>
      <c r="AI93" s="296">
        <f t="shared" si="114"/>
        <v>780144.18292694364</v>
      </c>
      <c r="AJ93" s="123">
        <f t="shared" si="67"/>
        <v>26156.003842060971</v>
      </c>
      <c r="AK93" s="124">
        <f t="shared" si="68"/>
        <v>935308.21665204526</v>
      </c>
      <c r="AL93" s="122">
        <f t="shared" si="1"/>
        <v>129008.0298830407</v>
      </c>
      <c r="AM93" s="122">
        <f>IF($C$25="Ausschütter",0,IF(AL93&gt;=0,(AI93+AJ93)*$C$48*0.7))</f>
        <v>395.08709151681222</v>
      </c>
      <c r="AN93" s="122">
        <f t="shared" si="2"/>
        <v>0</v>
      </c>
      <c r="AO93" s="122">
        <f t="shared" si="39"/>
        <v>395.08709151681222</v>
      </c>
      <c r="AP93" s="122">
        <f t="shared" si="69"/>
        <v>2022.2659905094529</v>
      </c>
      <c r="AQ93" s="122">
        <f>IF($C$25="AUSSCHÜTTER",0,IF(AO93*$C$46*$C$49&lt;=$C$47,0,AO93*$C$46*$C$49))</f>
        <v>0</v>
      </c>
      <c r="AR93" s="122">
        <f>IF(AO92*$C$49&gt;$C$47,(AN93)*$C$49*$C$46,IF((AO92+AN93)*$C$49&gt;$C$47,((AO92+AN93)*$C$49-$C$47)*$C$46,0))</f>
        <v>0</v>
      </c>
      <c r="AS93" s="122">
        <f t="shared" si="70"/>
        <v>0</v>
      </c>
      <c r="AT93" s="122">
        <f t="shared" si="40"/>
        <v>351574.89484197559</v>
      </c>
      <c r="AU93" s="122">
        <f t="shared" si="115"/>
        <v>0</v>
      </c>
      <c r="AV93" s="122">
        <f t="shared" si="71"/>
        <v>935308.21665204526</v>
      </c>
      <c r="AW93" s="122">
        <f t="shared" si="41"/>
        <v>0</v>
      </c>
      <c r="AX93" s="130">
        <f t="shared" si="42"/>
        <v>0</v>
      </c>
      <c r="AY93" s="82">
        <f>IF(AF93&lt;$C$11,$C$15*(1+$C$19)^(AF93-$C$10),0)</f>
        <v>50969.202649405161</v>
      </c>
      <c r="AZ93" s="82">
        <f>$C$14*(1+$C$37)^(AF93-$C$10)</f>
        <v>24813.19880734419</v>
      </c>
      <c r="BA93" s="165">
        <f>IF(AF93&lt;$C$11,0,MAX($C$38*AI93,AZ93))</f>
        <v>0</v>
      </c>
      <c r="BB93" s="82">
        <f>IF(AF93&lt;$C$11,0,MAX($C$38*AI93,AZ93))</f>
        <v>0</v>
      </c>
      <c r="BC93" s="136">
        <f>IF($C$39="JA",CT93,DG93)</f>
        <v>0</v>
      </c>
      <c r="BD93" s="82">
        <f t="shared" si="3"/>
        <v>0</v>
      </c>
      <c r="BE93" s="82">
        <f>IF(AF93&lt;($C$8+$C$30),0,$C$29*12*(1-$C$31))</f>
        <v>0</v>
      </c>
      <c r="BF93" s="82">
        <f>IF(AF93&lt;($C$8+$C$34),0,$C$33*12*(1-$C$35))</f>
        <v>0</v>
      </c>
      <c r="BG93" s="82">
        <f>IF(AF93&lt;$C$11,0,IF(AI93&lt;0,$C$42*(1+$C$44)^(AF93-$C$10),IF(((AL93+BE93+BF93)*$C$41)&lt;$C$42*(1+$C$44)^(AF93-$C$10),$C$42*(1+$C$44)^(AF93-$C$10),IF(((AL93+BE93+BF93)*$C$41)&lt;$C$43*(1+$C$44)^(AF93-$C$10),(AL93+BE93+BF93)*$C$41,IF(((AL93+BE93+BF93+BB93)*$C$41)&lt;$C$43*(1+$C$44)^(AF93-$C$10),((AL93+BE93+BF93+BB93)*$C$41),$C$43*(1+$C$44)^(AF93-$C$10))))))</f>
        <v>0</v>
      </c>
      <c r="BH93" s="82">
        <f t="shared" si="72"/>
        <v>24813.19880734419</v>
      </c>
      <c r="BI93" s="242">
        <f t="shared" si="73"/>
        <v>960121.41545938945</v>
      </c>
      <c r="BJ93" s="217">
        <f t="shared" si="74"/>
        <v>935308.21665204526</v>
      </c>
      <c r="BK93" s="118"/>
      <c r="BL93" s="219">
        <f t="shared" si="4"/>
        <v>0</v>
      </c>
      <c r="BM93" s="220">
        <f t="shared" si="5"/>
        <v>14</v>
      </c>
      <c r="BN93" s="220">
        <f t="shared" si="6"/>
        <v>4</v>
      </c>
      <c r="BO93" s="221">
        <f t="shared" si="7"/>
        <v>36562.10499719785</v>
      </c>
      <c r="BP93" s="221">
        <f t="shared" si="8"/>
        <v>26156.003842060971</v>
      </c>
      <c r="BQ93" s="222">
        <f>IF(BP93&lt;=0,0,BO93/BP93-1)</f>
        <v>0.39784751592684153</v>
      </c>
      <c r="BR93" s="223">
        <f>IF(BM93&lt;$C$11-$C$10+1,0,IF(BL93&lt;=$C$13,VLOOKUP(BL93,$BN$80:$BQ$156,2,FALSE)-BS93,0))</f>
        <v>0</v>
      </c>
      <c r="BS93" s="223">
        <f>IF(BM93&lt;$C$11-$C$10+1,0,IF(BL93&lt;=$C$13,VLOOKUP(BL93,$BN$80:$BQ$156,3,FALSE),0))</f>
        <v>0</v>
      </c>
      <c r="BT93" s="222">
        <f>IF(BM93&lt;$C$11-$C$10+1,0,IF(BL93&lt;=$C$13,VLOOKUP(BL93,$BN$80:$BQ$156,4,FALSE),0))</f>
        <v>0</v>
      </c>
      <c r="BU93" s="223">
        <f t="shared" si="43"/>
        <v>0</v>
      </c>
      <c r="BV93" s="223">
        <f t="shared" si="44"/>
        <v>0</v>
      </c>
      <c r="BW93" s="223">
        <f t="shared" si="45"/>
        <v>0</v>
      </c>
      <c r="BX93" s="223">
        <f>IF(AND(BS93&lt;=0,BN93=0),MIN((MAX($BZ$80:$BZ$156)-SUM($BX$80:BX92)),CA93),IF(BS93&lt;CA93,BS93,CA93))</f>
        <v>0</v>
      </c>
      <c r="BY93" s="222">
        <f>IF(BN93&gt;0,0,IF(AND(BN93=0,BT93&lt;=0),100%,((BW92*(AVERAGE($BT$80:BT92))+(BR93*BT93))/(BR93+BW92+BS93+BV92))))</f>
        <v>0</v>
      </c>
      <c r="BZ93" s="139">
        <f t="shared" si="46"/>
        <v>351574.89484197559</v>
      </c>
      <c r="CA93" s="122">
        <f t="shared" si="10"/>
        <v>0</v>
      </c>
      <c r="CB93" s="181">
        <f t="shared" si="47"/>
        <v>0</v>
      </c>
      <c r="CC93" s="122">
        <f t="shared" si="48"/>
        <v>0</v>
      </c>
      <c r="CD93" s="182">
        <f t="shared" si="11"/>
        <v>0</v>
      </c>
      <c r="CE93" s="122">
        <f t="shared" si="75"/>
        <v>0</v>
      </c>
      <c r="CF93" s="122">
        <f t="shared" si="76"/>
        <v>351574.89484197559</v>
      </c>
      <c r="CG93" s="122" t="str">
        <f t="shared" si="12"/>
        <v/>
      </c>
      <c r="CH93" s="140">
        <f t="shared" si="13"/>
        <v>0</v>
      </c>
      <c r="CI93" s="142">
        <f t="shared" si="77"/>
        <v>9984</v>
      </c>
      <c r="CJ93" s="134">
        <f>CI93*$C$57</f>
        <v>0</v>
      </c>
      <c r="CK93" s="142">
        <f t="shared" si="78"/>
        <v>14926</v>
      </c>
      <c r="CL93" s="134">
        <f>CK93*$C$57</f>
        <v>0</v>
      </c>
      <c r="CM93" s="142">
        <f t="shared" si="79"/>
        <v>58596</v>
      </c>
      <c r="CN93" s="134">
        <f>CM93*$C$57</f>
        <v>0</v>
      </c>
      <c r="CO93" s="132">
        <f t="shared" si="117"/>
        <v>0</v>
      </c>
      <c r="CP93" s="140">
        <f t="shared" si="14"/>
        <v>0</v>
      </c>
      <c r="CQ93" s="121" t="str">
        <f>IF($C$50="NEIN","NEIN",IF(CS93&lt;CR93,"JA","NEIN"))</f>
        <v>NEIN</v>
      </c>
      <c r="CR93" s="121">
        <f>CO93*$C$46</f>
        <v>0</v>
      </c>
      <c r="CS93" s="121">
        <f t="shared" si="15"/>
        <v>0</v>
      </c>
      <c r="CT93" s="201">
        <f>IF($C$50="NEIN",CR93,IF(CQ93="NEIN",CR93,CS93))</f>
        <v>0</v>
      </c>
      <c r="CU93" s="149"/>
      <c r="CV93" s="202">
        <f t="shared" si="80"/>
        <v>9984</v>
      </c>
      <c r="CW93" s="134">
        <f>CV93*$C$57</f>
        <v>0</v>
      </c>
      <c r="CX93" s="142">
        <f t="shared" si="81"/>
        <v>14926</v>
      </c>
      <c r="CY93" s="134">
        <f>CX93*$C$57</f>
        <v>0</v>
      </c>
      <c r="CZ93" s="142">
        <f t="shared" si="82"/>
        <v>58596</v>
      </c>
      <c r="DA93" s="143">
        <f>CZ93*$C$57</f>
        <v>0</v>
      </c>
      <c r="DB93" s="165">
        <f t="shared" si="16"/>
        <v>0</v>
      </c>
      <c r="DC93" s="140">
        <f t="shared" si="50"/>
        <v>0</v>
      </c>
      <c r="DD93" s="121" t="str">
        <f>IF($C$50="NEIN","NEIN",IF(DF93&lt;DE93,"JA","NEIN"))</f>
        <v>NEIN</v>
      </c>
      <c r="DE93" s="121">
        <f>DB93*$C$46</f>
        <v>0</v>
      </c>
      <c r="DF93" s="121">
        <f t="shared" si="17"/>
        <v>0</v>
      </c>
      <c r="DG93" s="201">
        <f>IF($C$50="NEIN",DE93,IF(DD93="NEIN",DE93,DF93))</f>
        <v>0</v>
      </c>
      <c r="DH93" s="159"/>
      <c r="DK93" s="128"/>
      <c r="DL93" s="128"/>
      <c r="DM93" s="128"/>
      <c r="DO93" s="28">
        <f t="shared" si="83"/>
        <v>2034</v>
      </c>
      <c r="DP93" s="17">
        <f>IF($C$13+$C$10&gt;=DO93,-AG93,IF(DO93=$C$13+$C$10+1,$EK$93,0))</f>
        <v>-26156.003842060971</v>
      </c>
      <c r="DQ93" s="17">
        <f t="shared" si="84"/>
        <v>406133.96560854185</v>
      </c>
      <c r="DR93" s="17">
        <f t="shared" si="85"/>
        <v>515858.18387996726</v>
      </c>
      <c r="DS93" s="17">
        <f t="shared" si="51"/>
        <v>34951.305687594198</v>
      </c>
      <c r="DT93" s="17">
        <f t="shared" si="18"/>
        <v>589366.15383729071</v>
      </c>
      <c r="DU93" s="17">
        <f t="shared" si="86"/>
        <v>38556.664269729285</v>
      </c>
      <c r="DV93" s="33">
        <f t="shared" si="19"/>
        <v>269.89664988810506</v>
      </c>
      <c r="DW93" s="32">
        <f t="shared" si="20"/>
        <v>11787.323076745814</v>
      </c>
      <c r="DX93" s="17">
        <f t="shared" si="87"/>
        <v>0</v>
      </c>
      <c r="DY93" s="17">
        <f t="shared" si="88"/>
        <v>0</v>
      </c>
      <c r="DZ93" s="17">
        <f t="shared" si="21"/>
        <v>0</v>
      </c>
      <c r="EA93" s="17">
        <f t="shared" si="53"/>
        <v>1964.9707730441955</v>
      </c>
      <c r="EB93" s="15">
        <f t="shared" si="54"/>
        <v>9822.3523037016184</v>
      </c>
      <c r="EC93" s="15">
        <f>IF(DP93=0,EC92,IF(DO93&lt;=$EK$88+$C$10,ABS(DP93)+EC92,EC92))</f>
        <v>351574.89484197559</v>
      </c>
      <c r="ED93" s="15">
        <f t="shared" si="89"/>
        <v>11110.760350572726</v>
      </c>
      <c r="EE93" s="16">
        <f t="shared" si="90"/>
        <v>589366.15383729071</v>
      </c>
      <c r="EF93" s="15">
        <f t="shared" si="22"/>
        <v>8795.3018455332276</v>
      </c>
      <c r="EG93" s="15">
        <f t="shared" si="91"/>
        <v>54559.070766566416</v>
      </c>
      <c r="EH93" s="16"/>
      <c r="EI93" s="16"/>
      <c r="EJ93" s="38" t="s">
        <v>28</v>
      </c>
      <c r="EK93" s="51">
        <f>EK90-EK92+VLOOKUP(EK88+C10-1,DO80:EE179,14,FALSE)+1</f>
        <v>749933.8474602144</v>
      </c>
      <c r="EL93" s="115"/>
      <c r="EM93" s="28">
        <f t="shared" si="92"/>
        <v>2034</v>
      </c>
      <c r="EN93" s="29">
        <f>IF($C$13+$C$10&gt;=EM93,-(AG93),IF(EM93=$C$13+$C$10+1,$FB$93,0))</f>
        <v>-26156.003842060971</v>
      </c>
      <c r="EO93" s="30">
        <f t="shared" si="93"/>
        <v>351574.89484197559</v>
      </c>
      <c r="EP93" s="30">
        <f t="shared" si="94"/>
        <v>536068.83936342015</v>
      </c>
      <c r="EQ93" s="30">
        <f t="shared" si="56"/>
        <v>26156.003842060971</v>
      </c>
      <c r="ER93" s="25">
        <f t="shared" si="23"/>
        <v>601580.58222986478</v>
      </c>
      <c r="ES93" s="30">
        <f t="shared" si="95"/>
        <v>39355.739024383714</v>
      </c>
      <c r="ET93" s="26">
        <f t="shared" si="24"/>
        <v>275.49017317068569</v>
      </c>
      <c r="EU93" s="30">
        <f t="shared" si="96"/>
        <v>275.49017317068569</v>
      </c>
      <c r="EV93" s="25">
        <f t="shared" si="25"/>
        <v>0</v>
      </c>
      <c r="EW93" s="31">
        <f t="shared" si="97"/>
        <v>1750.039811715224</v>
      </c>
      <c r="EX93" s="27">
        <f>IF(EM93=0,EX92,IF(EM93&lt;=$FB$88+$C$10,ABS(EN93)+EX92,EX92))</f>
        <v>351574.89484197559</v>
      </c>
      <c r="EY93" s="15"/>
      <c r="EZ93"/>
      <c r="FA93" s="38" t="s">
        <v>28</v>
      </c>
      <c r="FB93" s="51">
        <f>FB90-FB92</f>
        <v>755254.50094821735</v>
      </c>
      <c r="FJ93" s="28">
        <f t="shared" si="98"/>
        <v>2034</v>
      </c>
      <c r="FK93" s="65">
        <f>IF($C$13+$C$10&gt;=FJ93,-AG93,IF(FJ93=$C$13+$C$10+1,$EK$93,0))</f>
        <v>-26156.003842060971</v>
      </c>
      <c r="FL93" s="65">
        <f t="shared" si="99"/>
        <v>74118.803999999975</v>
      </c>
      <c r="FM93" s="65">
        <f t="shared" si="100"/>
        <v>130971.36510957051</v>
      </c>
      <c r="FN93" s="65">
        <f t="shared" si="59"/>
        <v>0</v>
      </c>
      <c r="FO93" s="65">
        <f t="shared" si="26"/>
        <v>140139.36066724046</v>
      </c>
      <c r="FP93" s="65">
        <f t="shared" si="101"/>
        <v>9167.9955576699431</v>
      </c>
      <c r="FQ93" s="59">
        <f t="shared" si="27"/>
        <v>64.175968903689551</v>
      </c>
      <c r="FR93" s="60">
        <f t="shared" si="28"/>
        <v>2802.7872133448091</v>
      </c>
      <c r="FS93" s="65">
        <f t="shared" si="102"/>
        <v>0</v>
      </c>
      <c r="FT93" s="65">
        <f t="shared" si="103"/>
        <v>0</v>
      </c>
      <c r="FU93" s="65">
        <f t="shared" si="29"/>
        <v>0</v>
      </c>
      <c r="FV93" s="65">
        <f t="shared" si="61"/>
        <v>306.20083926378527</v>
      </c>
      <c r="FW93" s="61">
        <f t="shared" si="62"/>
        <v>2496.5863740810237</v>
      </c>
      <c r="FX93" s="61">
        <f>IF(AND(FJ93&lt;=$GF$88+$C$10,FV92&lt;=0,FN93&gt;0),(FJ93-$C$10+1)*AG93+$GF$80,FX92)</f>
        <v>73074.599999999977</v>
      </c>
      <c r="FY93" s="62">
        <f t="shared" si="63"/>
        <v>1.4493770903138155</v>
      </c>
      <c r="FZ93" s="63">
        <f t="shared" si="104"/>
        <v>140139.36066724046</v>
      </c>
      <c r="GA93" s="64">
        <f t="shared" si="105"/>
        <v>2672.885002236133</v>
      </c>
      <c r="GB93" s="64">
        <f t="shared" si="106"/>
        <v>25033.843780757368</v>
      </c>
      <c r="GC93" s="66">
        <f t="shared" si="30"/>
        <v>0</v>
      </c>
      <c r="GD93" s="64">
        <f t="shared" si="107"/>
        <v>1580.6039999999994</v>
      </c>
      <c r="GE93" s="38" t="s">
        <v>28</v>
      </c>
      <c r="GF93" s="51">
        <f>GF90-GF92+VLOOKUP(GF88+C10-1,FJ80:FZ179,14,FALSE)</f>
        <v>145505.91812482488</v>
      </c>
      <c r="GI93" s="28">
        <f t="shared" si="108"/>
        <v>2034</v>
      </c>
      <c r="GJ93" s="9">
        <f>IF($GX$88+$C$10&gt;=GI93,-AG93,IF(GI93=$GX$88+$C$10+1,$FB$93,0))</f>
        <v>-26156.003842060971</v>
      </c>
      <c r="GK93" s="5">
        <f t="shared" si="109"/>
        <v>300318.29297949071</v>
      </c>
      <c r="GL93" s="5">
        <f t="shared" si="110"/>
        <v>399855.33583094634</v>
      </c>
      <c r="GM93" s="35">
        <f t="shared" si="65"/>
        <v>28512.864272932045</v>
      </c>
      <c r="GN93" s="4">
        <f t="shared" si="31"/>
        <v>458353.9741111499</v>
      </c>
      <c r="GO93" s="5">
        <f t="shared" si="111"/>
        <v>29985.77400727151</v>
      </c>
      <c r="GP93" s="5">
        <f t="shared" si="32"/>
        <v>209.90041805090041</v>
      </c>
      <c r="GQ93" s="5">
        <f t="shared" si="112"/>
        <v>209.90041805090041</v>
      </c>
      <c r="GR93" s="4">
        <f t="shared" si="33"/>
        <v>38.752864682647484</v>
      </c>
      <c r="GS93" s="7">
        <f t="shared" si="113"/>
        <v>1106.2497679216135</v>
      </c>
      <c r="GT93" s="107" t="e">
        <f>IF($DG$62=0,EX93,IF(GI93-$C$10+1&lt;=$GF$98,0,#REF!-FX93))</f>
        <v>#REF!</v>
      </c>
      <c r="GU93"/>
      <c r="GV93"/>
      <c r="GW93" s="38" t="s">
        <v>28</v>
      </c>
      <c r="GX93" s="51" t="e">
        <f>GX90-GX92</f>
        <v>#REF!</v>
      </c>
    </row>
    <row r="94" spans="1:212" s="74" customFormat="1" ht="16.149999999999999" thickBot="1" x14ac:dyDescent="0.55000000000000004">
      <c r="A94" s="75"/>
      <c r="B94" s="331"/>
      <c r="C94" s="282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AB94" s="117" t="str">
        <f t="shared" si="34"/>
        <v/>
      </c>
      <c r="AC94" s="117" t="str">
        <f t="shared" si="35"/>
        <v/>
      </c>
      <c r="AD94" s="299">
        <f>IF($C$20="NEIN",$C$21,IF($C$22="JA",'HISTORISCHE RENDITEN'!E18,'HISTORISCHE RENDITEN'!D18))</f>
        <v>-7.1399999999999991E-2</v>
      </c>
      <c r="AE94" s="129">
        <f t="shared" si="116"/>
        <v>42</v>
      </c>
      <c r="AF94" s="120">
        <f t="shared" si="37"/>
        <v>2035</v>
      </c>
      <c r="AG94" s="122">
        <f t="shared" si="0"/>
        <v>26300.211911618433</v>
      </c>
      <c r="AH94" s="124">
        <f t="shared" si="38"/>
        <v>377875.10675359401</v>
      </c>
      <c r="AI94" s="296">
        <f t="shared" si="114"/>
        <v>935308.21665204526</v>
      </c>
      <c r="AJ94" s="123">
        <f t="shared" si="67"/>
        <v>26300.211911618433</v>
      </c>
      <c r="AK94" s="124">
        <f t="shared" si="68"/>
        <v>892949.58676421817</v>
      </c>
      <c r="AL94" s="122">
        <f t="shared" si="1"/>
        <v>-68658.841799445567</v>
      </c>
      <c r="AM94" s="122" t="b">
        <f>IF($C$25="Ausschütter",0,IF(AL94&gt;=0,(AI94+AJ94)*$C$48*0.7))</f>
        <v>0</v>
      </c>
      <c r="AN94" s="122">
        <f t="shared" si="2"/>
        <v>0</v>
      </c>
      <c r="AO94" s="122">
        <f t="shared" si="39"/>
        <v>0</v>
      </c>
      <c r="AP94" s="122">
        <f t="shared" si="69"/>
        <v>2022.2659905094529</v>
      </c>
      <c r="AQ94" s="122">
        <f>IF($C$25="AUSSCHÜTTER",0,IF(AO94*$C$46*$C$49&lt;=$C$47,0,AO94*$C$46*$C$49))</f>
        <v>0</v>
      </c>
      <c r="AR94" s="122">
        <f>IF(AO93*$C$49&gt;$C$47,(AN94)*$C$49*$C$46,IF((AO93+AN94)*$C$49&gt;$C$47,((AO93+AN94)*$C$49-$C$47)*$C$46,0))</f>
        <v>0</v>
      </c>
      <c r="AS94" s="122">
        <f t="shared" si="70"/>
        <v>0</v>
      </c>
      <c r="AT94" s="122">
        <f t="shared" si="40"/>
        <v>377875.10675359401</v>
      </c>
      <c r="AU94" s="122">
        <f t="shared" si="115"/>
        <v>0</v>
      </c>
      <c r="AV94" s="122">
        <f t="shared" si="71"/>
        <v>892949.58676421817</v>
      </c>
      <c r="AW94" s="122">
        <f t="shared" si="41"/>
        <v>0</v>
      </c>
      <c r="AX94" s="130">
        <f t="shared" si="42"/>
        <v>0</v>
      </c>
      <c r="AY94" s="82">
        <f>IF(AF94&lt;$C$11,$C$15*(1+$C$19)^(AF94-$C$10),0)</f>
        <v>51733.740689146223</v>
      </c>
      <c r="AZ94" s="82">
        <f>$C$14*(1+$C$37)^(AF94-$C$10)</f>
        <v>25433.52877752779</v>
      </c>
      <c r="BA94" s="165">
        <f>IF(AF94&lt;$C$11,0,MAX($C$38*AI94,AZ94))</f>
        <v>0</v>
      </c>
      <c r="BB94" s="82">
        <f>IF(AF94&lt;$C$11,0,MAX($C$38*AI94,AZ94))</f>
        <v>0</v>
      </c>
      <c r="BC94" s="136">
        <f>IF($C$39="JA",CT94,DG94)</f>
        <v>0</v>
      </c>
      <c r="BD94" s="82">
        <f t="shared" si="3"/>
        <v>0</v>
      </c>
      <c r="BE94" s="82">
        <f>IF(AF94&lt;($C$8+$C$30),0,$C$29*12*(1-$C$31))</f>
        <v>0</v>
      </c>
      <c r="BF94" s="82">
        <f>IF(AF94&lt;($C$8+$C$34),0,$C$33*12*(1-$C$35))</f>
        <v>0</v>
      </c>
      <c r="BG94" s="82">
        <f>IF(AF94&lt;$C$11,0,IF(AI94&lt;0,$C$42*(1+$C$44)^(AF94-$C$10),IF(((AL94+BE94+BF94)*$C$41)&lt;$C$42*(1+$C$44)^(AF94-$C$10),$C$42*(1+$C$44)^(AF94-$C$10),IF(((AL94+BE94+BF94)*$C$41)&lt;$C$43*(1+$C$44)^(AF94-$C$10),(AL94+BE94+BF94)*$C$41,IF(((AL94+BE94+BF94+BB94)*$C$41)&lt;$C$43*(1+$C$44)^(AF94-$C$10),((AL94+BE94+BF94+BB94)*$C$41),$C$43*(1+$C$44)^(AF94-$C$10))))))</f>
        <v>0</v>
      </c>
      <c r="BH94" s="82">
        <f t="shared" si="72"/>
        <v>25433.52877752779</v>
      </c>
      <c r="BI94" s="242">
        <f t="shared" si="73"/>
        <v>918383.11554174591</v>
      </c>
      <c r="BJ94" s="217">
        <f t="shared" si="74"/>
        <v>892949.58676421817</v>
      </c>
      <c r="BK94" s="118"/>
      <c r="BL94" s="219">
        <f t="shared" si="4"/>
        <v>0</v>
      </c>
      <c r="BM94" s="220">
        <f t="shared" si="5"/>
        <v>15</v>
      </c>
      <c r="BN94" s="220">
        <f t="shared" si="6"/>
        <v>3</v>
      </c>
      <c r="BO94" s="221">
        <f t="shared" si="7"/>
        <v>33810.694922471426</v>
      </c>
      <c r="BP94" s="221">
        <f t="shared" si="8"/>
        <v>26300.211911618433</v>
      </c>
      <c r="BQ94" s="222">
        <f t="shared" si="9"/>
        <v>0.28556739527772201</v>
      </c>
      <c r="BR94" s="223">
        <f>IF(BM94&lt;$C$11-$C$10+1,0,IF(BL94&lt;=$C$13,VLOOKUP(BL94,$BN$80:$BQ$156,2,FALSE)-BS94,0))</f>
        <v>0</v>
      </c>
      <c r="BS94" s="223">
        <f>IF(BM94&lt;$C$11-$C$10+1,0,IF(BL94&lt;=$C$13,VLOOKUP(BL94,$BN$80:$BQ$156,3,FALSE),0))</f>
        <v>0</v>
      </c>
      <c r="BT94" s="222">
        <f>IF(BM94&lt;$C$11-$C$10+1,0,IF(BL94&lt;=$C$13,VLOOKUP(BL94,$BN$80:$BQ$156,4,FALSE),0))</f>
        <v>0</v>
      </c>
      <c r="BU94" s="223">
        <f t="shared" si="43"/>
        <v>0</v>
      </c>
      <c r="BV94" s="223">
        <f t="shared" si="44"/>
        <v>0</v>
      </c>
      <c r="BW94" s="223">
        <f>BU94-BV94</f>
        <v>0</v>
      </c>
      <c r="BX94" s="223">
        <f>IF(AND(BS94&lt;=0,BN94=0),MIN((MAX($BZ$80:$BZ$156)-SUM($BX$80:BX93)),CA94),IF(BS94&lt;CA94,BS94,CA94))</f>
        <v>0</v>
      </c>
      <c r="BY94" s="222">
        <f>IF(BN94&gt;0,0,IF(AND(BN94=0,BT94&lt;=0),100%,((BW93*(AVERAGE($BT$80:BT93))+(BR94*BT94))/(BR94+BW93+BS94+BV93))))</f>
        <v>0</v>
      </c>
      <c r="BZ94" s="139">
        <f t="shared" si="46"/>
        <v>377875.10675359401</v>
      </c>
      <c r="CA94" s="122">
        <f t="shared" si="10"/>
        <v>0</v>
      </c>
      <c r="CB94" s="181">
        <f t="shared" si="47"/>
        <v>0</v>
      </c>
      <c r="CC94" s="122">
        <f t="shared" si="48"/>
        <v>0</v>
      </c>
      <c r="CD94" s="182">
        <f t="shared" si="11"/>
        <v>0</v>
      </c>
      <c r="CE94" s="122">
        <f>CD94+CE93</f>
        <v>0</v>
      </c>
      <c r="CF94" s="122">
        <f t="shared" si="76"/>
        <v>377875.10675359401</v>
      </c>
      <c r="CG94" s="122" t="str">
        <f t="shared" si="12"/>
        <v/>
      </c>
      <c r="CH94" s="140">
        <f t="shared" si="13"/>
        <v>0</v>
      </c>
      <c r="CI94" s="142">
        <f t="shared" si="77"/>
        <v>9984</v>
      </c>
      <c r="CJ94" s="134">
        <f>CI94*$C$57</f>
        <v>0</v>
      </c>
      <c r="CK94" s="142">
        <f t="shared" si="78"/>
        <v>14926</v>
      </c>
      <c r="CL94" s="134">
        <f>CK94*$C$57</f>
        <v>0</v>
      </c>
      <c r="CM94" s="142">
        <f t="shared" si="79"/>
        <v>58596</v>
      </c>
      <c r="CN94" s="134">
        <f>CM94*$C$57</f>
        <v>0</v>
      </c>
      <c r="CO94" s="132">
        <f t="shared" si="117"/>
        <v>0</v>
      </c>
      <c r="CP94" s="140">
        <f t="shared" si="14"/>
        <v>0</v>
      </c>
      <c r="CQ94" s="121" t="str">
        <f>IF($C$50="NEIN","NEIN",IF(CS94&lt;CR94,"JA","NEIN"))</f>
        <v>NEIN</v>
      </c>
      <c r="CR94" s="121">
        <f>CO94*$C$46</f>
        <v>0</v>
      </c>
      <c r="CS94" s="121">
        <f t="shared" si="15"/>
        <v>0</v>
      </c>
      <c r="CT94" s="201">
        <f>IF($C$50="NEIN",CR94,IF(CQ94="NEIN",CR94,CS94))</f>
        <v>0</v>
      </c>
      <c r="CU94" s="149"/>
      <c r="CV94" s="202">
        <f t="shared" si="80"/>
        <v>9984</v>
      </c>
      <c r="CW94" s="134">
        <f>CV94*$C$57</f>
        <v>0</v>
      </c>
      <c r="CX94" s="142">
        <f t="shared" si="81"/>
        <v>14926</v>
      </c>
      <c r="CY94" s="134">
        <f>CX94*$C$57</f>
        <v>0</v>
      </c>
      <c r="CZ94" s="142">
        <f t="shared" si="82"/>
        <v>58596</v>
      </c>
      <c r="DA94" s="143">
        <f>CZ94*$C$57</f>
        <v>0</v>
      </c>
      <c r="DB94" s="165">
        <f t="shared" si="16"/>
        <v>0</v>
      </c>
      <c r="DC94" s="140">
        <f t="shared" si="50"/>
        <v>0</v>
      </c>
      <c r="DD94" s="121" t="str">
        <f>IF($C$50="NEIN","NEIN",IF(DF94&lt;DE94,"JA","NEIN"))</f>
        <v>NEIN</v>
      </c>
      <c r="DE94" s="121">
        <f>DB94*$C$46</f>
        <v>0</v>
      </c>
      <c r="DF94" s="121">
        <f t="shared" si="17"/>
        <v>0</v>
      </c>
      <c r="DG94" s="201">
        <f>IF($C$50="NEIN",DE94,IF(DD94="NEIN",DE94,DF94))</f>
        <v>0</v>
      </c>
      <c r="DH94" s="159"/>
      <c r="DK94" s="128"/>
      <c r="DL94" s="128"/>
      <c r="DM94" s="128"/>
      <c r="DO94" s="28">
        <f t="shared" si="83"/>
        <v>2035</v>
      </c>
      <c r="DP94" s="17">
        <f>IF($C$13+$C$10&gt;=DO94,-AG94,IF(DO94=$C$13+$C$10+1,$EK$93,0))</f>
        <v>-26300.211911618433</v>
      </c>
      <c r="DQ94" s="17">
        <f t="shared" si="84"/>
        <v>442256.5298238619</v>
      </c>
      <c r="DR94" s="17">
        <f t="shared" si="85"/>
        <v>577578.83076054486</v>
      </c>
      <c r="DS94" s="17">
        <f t="shared" si="51"/>
        <v>36122.564215320053</v>
      </c>
      <c r="DT94" s="17">
        <f t="shared" si="18"/>
        <v>656660.4926241755</v>
      </c>
      <c r="DU94" s="17">
        <f t="shared" si="86"/>
        <v>42959.097648310591</v>
      </c>
      <c r="DV94" s="33">
        <f t="shared" si="19"/>
        <v>300.71368353817377</v>
      </c>
      <c r="DW94" s="32">
        <f t="shared" si="20"/>
        <v>13133.209852483511</v>
      </c>
      <c r="DX94" s="17">
        <f t="shared" si="87"/>
        <v>0</v>
      </c>
      <c r="DY94" s="17">
        <f t="shared" si="88"/>
        <v>0</v>
      </c>
      <c r="DZ94" s="17">
        <f t="shared" si="21"/>
        <v>0</v>
      </c>
      <c r="EA94" s="17">
        <f t="shared" si="53"/>
        <v>2213.4551190147681</v>
      </c>
      <c r="EB94" s="15">
        <f t="shared" si="54"/>
        <v>10919.754733468742</v>
      </c>
      <c r="EC94" s="15">
        <f>IF(DP94=0,EC93,IF(DO94&lt;=$EK$88+$C$10,ABS(DP94)+EC93,EC93))</f>
        <v>377875.10675359401</v>
      </c>
      <c r="ED94" s="15">
        <f t="shared" si="89"/>
        <v>13324.215469587494</v>
      </c>
      <c r="EE94" s="16">
        <f t="shared" si="90"/>
        <v>656660.4926241755</v>
      </c>
      <c r="EF94" s="15">
        <f t="shared" si="22"/>
        <v>9822.3523037016203</v>
      </c>
      <c r="EG94" s="15">
        <f t="shared" si="91"/>
        <v>64381.423070268036</v>
      </c>
      <c r="EH94" s="16"/>
      <c r="EI94" s="16"/>
      <c r="EJ94" s="38" t="s">
        <v>43</v>
      </c>
      <c r="EK94" s="48">
        <f>VLOOKUP(EK88+C10-1,DO80:EC179,15,FALSE)</f>
        <v>430891.77838569693</v>
      </c>
      <c r="EL94" s="114"/>
      <c r="EM94" s="28">
        <f t="shared" si="92"/>
        <v>2035</v>
      </c>
      <c r="EN94" s="29">
        <f>IF($C$13+$C$10&gt;=EM94,-(AG94),IF(EM94=$C$13+$C$10+1,$FB$93,0))</f>
        <v>-26300.211911618433</v>
      </c>
      <c r="EO94" s="30">
        <f t="shared" si="93"/>
        <v>377875.10675359401</v>
      </c>
      <c r="EP94" s="30">
        <f t="shared" si="94"/>
        <v>601580.58222986478</v>
      </c>
      <c r="EQ94" s="30">
        <f t="shared" si="56"/>
        <v>26300.211911618433</v>
      </c>
      <c r="ER94" s="25">
        <f t="shared" si="23"/>
        <v>671832.44973138708</v>
      </c>
      <c r="ES94" s="30">
        <f t="shared" si="95"/>
        <v>43951.655589903821</v>
      </c>
      <c r="ET94" s="26">
        <f t="shared" si="24"/>
        <v>307.66158912932679</v>
      </c>
      <c r="EU94" s="30">
        <f t="shared" si="96"/>
        <v>307.66158912932679</v>
      </c>
      <c r="EV94" s="25">
        <f t="shared" si="25"/>
        <v>0</v>
      </c>
      <c r="EW94" s="31">
        <f t="shared" si="97"/>
        <v>2057.7014008445508</v>
      </c>
      <c r="EX94" s="27">
        <f>IF(EM94=0,EX93,IF(EM94&lt;=$FB$88+$C$10,ABS(EN94)+EX93,EX93))</f>
        <v>377875.10675359401</v>
      </c>
      <c r="EY94" s="15"/>
      <c r="EZ94"/>
      <c r="FA94" s="38" t="s">
        <v>16</v>
      </c>
      <c r="FB94" s="48">
        <f>VLOOKUP(FB88+C10-1,EM80:EX179,12,FALSE)</f>
        <v>430891.77838569693</v>
      </c>
      <c r="FJ94" s="28">
        <f t="shared" si="98"/>
        <v>2035</v>
      </c>
      <c r="FK94" s="65">
        <f>IF($C$13+$C$10&gt;=FJ94,-AG94,IF(FJ94=$C$13+$C$10+1,$EK$93,0))</f>
        <v>-26300.211911618433</v>
      </c>
      <c r="FL94" s="65">
        <f t="shared" si="99"/>
        <v>74118.803999999975</v>
      </c>
      <c r="FM94" s="65">
        <f t="shared" si="100"/>
        <v>137336.57345389566</v>
      </c>
      <c r="FN94" s="65">
        <f t="shared" si="59"/>
        <v>0</v>
      </c>
      <c r="FO94" s="65">
        <f t="shared" si="26"/>
        <v>146950.13359566836</v>
      </c>
      <c r="FP94" s="65">
        <f t="shared" si="101"/>
        <v>9613.5601417727012</v>
      </c>
      <c r="FQ94" s="59">
        <f t="shared" si="27"/>
        <v>67.294920992408862</v>
      </c>
      <c r="FR94" s="60">
        <f t="shared" si="28"/>
        <v>2939.0026719133671</v>
      </c>
      <c r="FS94" s="65">
        <f t="shared" si="102"/>
        <v>0</v>
      </c>
      <c r="FT94" s="65">
        <f t="shared" si="103"/>
        <v>0</v>
      </c>
      <c r="FU94" s="65">
        <f t="shared" si="29"/>
        <v>0</v>
      </c>
      <c r="FV94" s="65">
        <f t="shared" si="61"/>
        <v>331.34961830200535</v>
      </c>
      <c r="FW94" s="61">
        <f t="shared" si="62"/>
        <v>2607.6530536113619</v>
      </c>
      <c r="FX94" s="61">
        <f>IF(AND(FJ94&lt;=$GF$88+$C$10,FV93&lt;=0,FN94&gt;0),(FJ94-$C$10+1)*AG94+$GF$80,FX93)</f>
        <v>73074.599999999977</v>
      </c>
      <c r="FY94" s="62">
        <f t="shared" si="63"/>
        <v>1.5684168169030672</v>
      </c>
      <c r="FZ94" s="63">
        <f t="shared" si="104"/>
        <v>146950.13359566836</v>
      </c>
      <c r="GA94" s="64">
        <f t="shared" si="105"/>
        <v>2802.7872133448091</v>
      </c>
      <c r="GB94" s="64">
        <f t="shared" si="106"/>
        <v>27836.630994102175</v>
      </c>
      <c r="GC94" s="66">
        <f t="shared" si="30"/>
        <v>0</v>
      </c>
      <c r="GD94" s="64">
        <f t="shared" si="107"/>
        <v>1580.6039999999994</v>
      </c>
      <c r="GE94" s="38" t="s">
        <v>16</v>
      </c>
      <c r="GF94" s="48">
        <f>VLOOKUP(GF88+C10-1,FJ80:FX179,15,FALSE)</f>
        <v>73074.599999999977</v>
      </c>
      <c r="GI94" s="28">
        <f t="shared" si="108"/>
        <v>2035</v>
      </c>
      <c r="GJ94" s="9">
        <f>IF($GX$88+$C$10&gt;=GI94,-AG94,IF(GI94=$GX$88+$C$10+1,$FB$93,0))</f>
        <v>-26300.211911618433</v>
      </c>
      <c r="GK94" s="5">
        <f t="shared" si="109"/>
        <v>329076.33840050752</v>
      </c>
      <c r="GL94" s="5">
        <f t="shared" si="110"/>
        <v>458353.9741111499</v>
      </c>
      <c r="GM94" s="35">
        <f t="shared" si="65"/>
        <v>28758.04542101681</v>
      </c>
      <c r="GN94" s="4">
        <f t="shared" si="31"/>
        <v>521209.86089941842</v>
      </c>
      <c r="GO94" s="5">
        <f t="shared" si="111"/>
        <v>34097.841367251705</v>
      </c>
      <c r="GP94" s="5">
        <f t="shared" si="32"/>
        <v>238.68488957076167</v>
      </c>
      <c r="GQ94" s="5">
        <f t="shared" si="112"/>
        <v>238.68488957076167</v>
      </c>
      <c r="GR94" s="4">
        <f t="shared" si="33"/>
        <v>44.067197737001869</v>
      </c>
      <c r="GS94" s="7">
        <f t="shared" si="113"/>
        <v>1344.9346574923752</v>
      </c>
      <c r="GT94" s="107" t="e">
        <f>IF($DG$62=0,EX94,IF(GI94-$C$10+1&lt;=$GF$98,0,#REF!-FX94))</f>
        <v>#REF!</v>
      </c>
      <c r="GU94"/>
      <c r="GV94"/>
      <c r="GW94" s="38" t="s">
        <v>50</v>
      </c>
      <c r="GX94" s="48" t="e">
        <f>VLOOKUP(GX88+$C$10-1,GI80:GT179,12,FALSE)</f>
        <v>#REF!</v>
      </c>
    </row>
    <row r="95" spans="1:212" s="74" customFormat="1" ht="16.149999999999999" thickBot="1" x14ac:dyDescent="0.55000000000000004">
      <c r="A95" s="75"/>
      <c r="B95" s="331"/>
      <c r="C95" s="282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AB95" s="117" t="str">
        <f t="shared" si="34"/>
        <v/>
      </c>
      <c r="AC95" s="117" t="str">
        <f t="shared" si="35"/>
        <v/>
      </c>
      <c r="AD95" s="299">
        <f>IF($C$20="NEIN",$C$21,IF($C$22="JA",'HISTORISCHE RENDITEN'!E19,'HISTORISCHE RENDITEN'!D19))</f>
        <v>0.2039</v>
      </c>
      <c r="AE95" s="129">
        <f t="shared" si="116"/>
        <v>43</v>
      </c>
      <c r="AF95" s="120">
        <f t="shared" si="37"/>
        <v>2036</v>
      </c>
      <c r="AG95" s="122">
        <f t="shared" si="0"/>
        <v>26440.379802517418</v>
      </c>
      <c r="AH95" s="124">
        <f t="shared" si="38"/>
        <v>404315.48655611143</v>
      </c>
      <c r="AI95" s="296">
        <f t="shared" si="114"/>
        <v>892949.58676421817</v>
      </c>
      <c r="AJ95" s="123">
        <f t="shared" si="67"/>
        <v>26440.379802517418</v>
      </c>
      <c r="AK95" s="124">
        <f t="shared" si="68"/>
        <v>1106853.5807496931</v>
      </c>
      <c r="AL95" s="122">
        <f t="shared" si="1"/>
        <v>187463.61418295745</v>
      </c>
      <c r="AM95" s="122">
        <f>IF($C$25="Ausschütter",0,IF(AL95&gt;=0,(AI95+AJ95)*$C$48*0.7))</f>
        <v>450.50108361770043</v>
      </c>
      <c r="AN95" s="122">
        <f t="shared" si="2"/>
        <v>0</v>
      </c>
      <c r="AO95" s="122">
        <f t="shared" si="39"/>
        <v>450.50108361770043</v>
      </c>
      <c r="AP95" s="122">
        <f t="shared" si="69"/>
        <v>2472.7670741271531</v>
      </c>
      <c r="AQ95" s="122">
        <f>IF($C$25="AUSSCHÜTTER",0,IF(AO95*$C$46*$C$49&lt;=$C$47,0,AO95*$C$46*$C$49))</f>
        <v>0</v>
      </c>
      <c r="AR95" s="122">
        <f>IF(AO94*$C$49&gt;$C$47,(AN95)*$C$49*$C$46,IF((AO94+AN95)*$C$49&gt;$C$47,((AO94+AN95)*$C$49-$C$47)*$C$46,0))</f>
        <v>0</v>
      </c>
      <c r="AS95" s="122">
        <f t="shared" si="70"/>
        <v>0</v>
      </c>
      <c r="AT95" s="122">
        <f t="shared" si="40"/>
        <v>404315.48655611143</v>
      </c>
      <c r="AU95" s="122">
        <f t="shared" si="115"/>
        <v>0</v>
      </c>
      <c r="AV95" s="122">
        <f t="shared" si="71"/>
        <v>1106853.5807496931</v>
      </c>
      <c r="AW95" s="122">
        <f t="shared" si="41"/>
        <v>0</v>
      </c>
      <c r="AX95" s="130">
        <f t="shared" si="42"/>
        <v>0</v>
      </c>
      <c r="AY95" s="82">
        <f>IF(AF95&lt;$C$11,$C$15*(1+$C$19)^(AF95-$C$10),0)</f>
        <v>52509.746799483408</v>
      </c>
      <c r="AZ95" s="82">
        <f>$C$14*(1+$C$37)^(AF95-$C$10)</f>
        <v>26069.36699696599</v>
      </c>
      <c r="BA95" s="165">
        <f>IF(AF95&lt;$C$11,0,MAX($C$38*AI95,AZ95))</f>
        <v>0</v>
      </c>
      <c r="BB95" s="82">
        <f>IF(AF95&lt;$C$11,0,MAX($C$38*AI95,AZ95))</f>
        <v>0</v>
      </c>
      <c r="BC95" s="136">
        <f>IF($C$39="JA",CT95,DG95)</f>
        <v>0</v>
      </c>
      <c r="BD95" s="82">
        <f t="shared" si="3"/>
        <v>0</v>
      </c>
      <c r="BE95" s="82">
        <f>IF(AF95&lt;($C$8+$C$30),0,$C$29*12*(1-$C$31))</f>
        <v>0</v>
      </c>
      <c r="BF95" s="82">
        <f>IF(AF95&lt;($C$8+$C$34),0,$C$33*12*(1-$C$35))</f>
        <v>0</v>
      </c>
      <c r="BG95" s="82">
        <f>IF(AF95&lt;$C$11,0,IF(AI95&lt;0,$C$42*(1+$C$44)^(AF95-$C$10),IF(((AL95+BE95+BF95)*$C$41)&lt;$C$42*(1+$C$44)^(AF95-$C$10),$C$42*(1+$C$44)^(AF95-$C$10),IF(((AL95+BE95+BF95)*$C$41)&lt;$C$43*(1+$C$44)^(AF95-$C$10),(AL95+BE95+BF95)*$C$41,IF(((AL95+BE95+BF95+BB95)*$C$41)&lt;$C$43*(1+$C$44)^(AF95-$C$10),((AL95+BE95+BF95+BB95)*$C$41),$C$43*(1+$C$44)^(AF95-$C$10))))))</f>
        <v>0</v>
      </c>
      <c r="BH95" s="82">
        <f t="shared" si="72"/>
        <v>26069.36699696599</v>
      </c>
      <c r="BI95" s="242">
        <f t="shared" si="73"/>
        <v>1132922.9477466592</v>
      </c>
      <c r="BJ95" s="217">
        <f t="shared" si="74"/>
        <v>1106853.5807496931</v>
      </c>
      <c r="BK95" s="118"/>
      <c r="BL95" s="219">
        <f t="shared" si="4"/>
        <v>0</v>
      </c>
      <c r="BM95" s="220">
        <f t="shared" si="5"/>
        <v>16</v>
      </c>
      <c r="BN95" s="220">
        <f t="shared" si="6"/>
        <v>2</v>
      </c>
      <c r="BO95" s="221">
        <f t="shared" si="7"/>
        <v>31260.620110951822</v>
      </c>
      <c r="BP95" s="221">
        <f t="shared" si="8"/>
        <v>26440.379802517418</v>
      </c>
      <c r="BQ95" s="222">
        <f t="shared" si="9"/>
        <v>0.18230601619328723</v>
      </c>
      <c r="BR95" s="223">
        <f>IF(BM95&lt;$C$11-$C$10+1,0,IF(BL95&lt;=$C$13,VLOOKUP(BL95,$BN$80:$BQ$156,2,FALSE)-BS95,0))</f>
        <v>0</v>
      </c>
      <c r="BS95" s="223">
        <f>IF(BM95&lt;$C$11-$C$10+1,0,IF(BL95&lt;=$C$13,VLOOKUP(BL95,$BN$80:$BQ$156,3,FALSE),0))</f>
        <v>0</v>
      </c>
      <c r="BT95" s="222">
        <f>IF(BM95&lt;$C$11-$C$10+1,0,IF(BL95&lt;=$C$13,VLOOKUP(BL95,$BN$80:$BQ$156,4,FALSE),0))</f>
        <v>0</v>
      </c>
      <c r="BU95" s="223">
        <f t="shared" si="43"/>
        <v>0</v>
      </c>
      <c r="BV95" s="223">
        <f t="shared" si="44"/>
        <v>0</v>
      </c>
      <c r="BW95" s="223">
        <f>BU95-BV95</f>
        <v>0</v>
      </c>
      <c r="BX95" s="223">
        <f>IF(AND(BS95&lt;=0,BN95=0),MIN((MAX($BZ$80:$BZ$156)-SUM($BX$80:BX94)),CA95),IF(BS95&lt;CA95,BS95,CA95))</f>
        <v>0</v>
      </c>
      <c r="BY95" s="222">
        <f>IF(BN95&gt;0,0,IF(AND(BN95=0,BT95&lt;=0),100%,((BW94*(AVERAGE($BT$80:BT94))+(BR95*BT95))/(BR95+BW94+BS95+BV94))))</f>
        <v>0</v>
      </c>
      <c r="BZ95" s="139">
        <f t="shared" si="46"/>
        <v>404315.48655611143</v>
      </c>
      <c r="CA95" s="122">
        <f t="shared" si="10"/>
        <v>0</v>
      </c>
      <c r="CB95" s="181">
        <f t="shared" si="47"/>
        <v>0</v>
      </c>
      <c r="CC95" s="122">
        <f t="shared" si="48"/>
        <v>0</v>
      </c>
      <c r="CD95" s="182">
        <f t="shared" si="11"/>
        <v>0</v>
      </c>
      <c r="CE95" s="122">
        <f t="shared" si="75"/>
        <v>0</v>
      </c>
      <c r="CF95" s="122">
        <f t="shared" si="76"/>
        <v>404315.48655611143</v>
      </c>
      <c r="CG95" s="122" t="str">
        <f t="shared" si="12"/>
        <v/>
      </c>
      <c r="CH95" s="140">
        <f t="shared" si="13"/>
        <v>0</v>
      </c>
      <c r="CI95" s="142">
        <f t="shared" si="77"/>
        <v>9984</v>
      </c>
      <c r="CJ95" s="134">
        <f>CI95*$C$57</f>
        <v>0</v>
      </c>
      <c r="CK95" s="142">
        <f t="shared" si="78"/>
        <v>14926</v>
      </c>
      <c r="CL95" s="134">
        <f>CK95*$C$57</f>
        <v>0</v>
      </c>
      <c r="CM95" s="142">
        <f t="shared" si="79"/>
        <v>58596</v>
      </c>
      <c r="CN95" s="134">
        <f>CM95*$C$57</f>
        <v>0</v>
      </c>
      <c r="CO95" s="132">
        <f t="shared" si="117"/>
        <v>0</v>
      </c>
      <c r="CP95" s="140">
        <f t="shared" si="14"/>
        <v>0</v>
      </c>
      <c r="CQ95" s="121" t="str">
        <f>IF($C$50="NEIN","NEIN",IF(CS95&lt;CR95,"JA","NEIN"))</f>
        <v>NEIN</v>
      </c>
      <c r="CR95" s="121">
        <f>CO95*$C$46</f>
        <v>0</v>
      </c>
      <c r="CS95" s="121">
        <f t="shared" si="15"/>
        <v>0</v>
      </c>
      <c r="CT95" s="201">
        <f>IF($C$50="NEIN",CR95,IF(CQ95="NEIN",CR95,CS95))</f>
        <v>0</v>
      </c>
      <c r="CU95" s="149"/>
      <c r="CV95" s="202">
        <f t="shared" si="80"/>
        <v>9984</v>
      </c>
      <c r="CW95" s="134">
        <f>CV95*$C$57</f>
        <v>0</v>
      </c>
      <c r="CX95" s="142">
        <f t="shared" si="81"/>
        <v>14926</v>
      </c>
      <c r="CY95" s="134">
        <f>CX95*$C$57</f>
        <v>0</v>
      </c>
      <c r="CZ95" s="142">
        <f t="shared" si="82"/>
        <v>58596</v>
      </c>
      <c r="DA95" s="143">
        <f>CZ95*$C$57</f>
        <v>0</v>
      </c>
      <c r="DB95" s="165">
        <f t="shared" si="16"/>
        <v>0</v>
      </c>
      <c r="DC95" s="140">
        <f t="shared" si="50"/>
        <v>0</v>
      </c>
      <c r="DD95" s="121" t="str">
        <f>IF($C$50="NEIN","NEIN",IF(DF95&lt;DE95,"JA","NEIN"))</f>
        <v>NEIN</v>
      </c>
      <c r="DE95" s="121">
        <f>DB95*$C$46</f>
        <v>0</v>
      </c>
      <c r="DF95" s="121">
        <f t="shared" si="17"/>
        <v>0</v>
      </c>
      <c r="DG95" s="201">
        <f>IF($C$50="NEIN",DE95,IF(DD95="NEIN",DE95,DF95))</f>
        <v>0</v>
      </c>
      <c r="DH95" s="159"/>
      <c r="DK95" s="128"/>
      <c r="DL95" s="128"/>
      <c r="DM95" s="128"/>
      <c r="DO95" s="28">
        <f t="shared" si="83"/>
        <v>2036</v>
      </c>
      <c r="DP95" s="17">
        <f>IF($C$13+$C$10&gt;=DO95,-AG95,IF(DO95=$C$13+$C$10+1,$EK$93,0))</f>
        <v>-26440.379802517418</v>
      </c>
      <c r="DQ95" s="17">
        <f t="shared" si="84"/>
        <v>479616.66435984807</v>
      </c>
      <c r="DR95" s="17">
        <f t="shared" si="85"/>
        <v>643527.28277169203</v>
      </c>
      <c r="DS95" s="17">
        <f t="shared" si="51"/>
        <v>37360.134535986159</v>
      </c>
      <c r="DT95" s="17">
        <f t="shared" si="18"/>
        <v>728549.53651921568</v>
      </c>
      <c r="DU95" s="17">
        <f t="shared" si="86"/>
        <v>47662.119211537531</v>
      </c>
      <c r="DV95" s="33">
        <f t="shared" si="19"/>
        <v>333.63483448076227</v>
      </c>
      <c r="DW95" s="32">
        <f t="shared" si="20"/>
        <v>14570.990730384314</v>
      </c>
      <c r="DX95" s="17">
        <f t="shared" si="87"/>
        <v>0</v>
      </c>
      <c r="DY95" s="17">
        <f t="shared" si="88"/>
        <v>0</v>
      </c>
      <c r="DZ95" s="17">
        <f t="shared" si="21"/>
        <v>0</v>
      </c>
      <c r="EA95" s="17">
        <f t="shared" si="53"/>
        <v>2478.9054135972037</v>
      </c>
      <c r="EB95" s="15">
        <f t="shared" si="54"/>
        <v>12092.08531678711</v>
      </c>
      <c r="EC95" s="15">
        <f>IF(DP95=0,EC94,IF(DO95&lt;=$EK$88+$C$10,ABS(DP95)+EC94,EC94))</f>
        <v>404315.48655611143</v>
      </c>
      <c r="ED95" s="15">
        <f t="shared" si="89"/>
        <v>15803.120883184698</v>
      </c>
      <c r="EE95" s="16">
        <f t="shared" si="90"/>
        <v>728549.53651921568</v>
      </c>
      <c r="EF95" s="15">
        <f t="shared" si="22"/>
        <v>10919.754733468741</v>
      </c>
      <c r="EG95" s="15">
        <f t="shared" si="91"/>
        <v>75301.177803736777</v>
      </c>
      <c r="EH95" s="16"/>
      <c r="EI95" s="16"/>
      <c r="EJ95" s="52" t="s">
        <v>14</v>
      </c>
      <c r="EK95" s="53">
        <f>(EK93)/EK94</f>
        <v>1.7404227350769703</v>
      </c>
      <c r="EL95" s="91"/>
      <c r="EM95" s="28">
        <f t="shared" si="92"/>
        <v>2036</v>
      </c>
      <c r="EN95" s="29">
        <f>IF($C$13+$C$10&gt;=EM95,-(AG95),IF(EM95=$C$13+$C$10+1,$FB$93,0))</f>
        <v>-26440.379802517418</v>
      </c>
      <c r="EO95" s="30">
        <f t="shared" si="93"/>
        <v>404315.48655611143</v>
      </c>
      <c r="EP95" s="30">
        <f t="shared" si="94"/>
        <v>671832.44973138708</v>
      </c>
      <c r="EQ95" s="30">
        <f t="shared" si="56"/>
        <v>26440.379802517418</v>
      </c>
      <c r="ER95" s="25">
        <f t="shared" si="23"/>
        <v>747151.92760127794</v>
      </c>
      <c r="ES95" s="30">
        <f t="shared" si="95"/>
        <v>48879.098067373387</v>
      </c>
      <c r="ET95" s="26">
        <f t="shared" si="24"/>
        <v>342.15368647161324</v>
      </c>
      <c r="EU95" s="30">
        <f t="shared" si="96"/>
        <v>342.15368647161324</v>
      </c>
      <c r="EV95" s="25">
        <f t="shared" si="25"/>
        <v>0</v>
      </c>
      <c r="EW95" s="31">
        <f t="shared" si="97"/>
        <v>2399.8550873161639</v>
      </c>
      <c r="EX95" s="27">
        <f>IF(EM95=0,EX94,IF(EM95&lt;=$FB$88+$C$10,ABS(EN95)+EX94,EX94))</f>
        <v>404315.48655611143</v>
      </c>
      <c r="EY95" s="15"/>
      <c r="EZ95"/>
      <c r="FA95" s="52" t="s">
        <v>14</v>
      </c>
      <c r="FB95" s="53">
        <f>(FB93)/FB94</f>
        <v>1.7527707392740715</v>
      </c>
      <c r="FJ95" s="28">
        <f t="shared" si="98"/>
        <v>2036</v>
      </c>
      <c r="FK95" s="65">
        <f>IF($C$13+$C$10&gt;=FJ95,-AG95,IF(FJ95=$C$13+$C$10+1,$EK$93,0))</f>
        <v>-26440.379802517418</v>
      </c>
      <c r="FL95" s="65">
        <f t="shared" si="99"/>
        <v>74118.803999999975</v>
      </c>
      <c r="FM95" s="65">
        <f t="shared" si="100"/>
        <v>144011.130923755</v>
      </c>
      <c r="FN95" s="65">
        <f t="shared" si="59"/>
        <v>0</v>
      </c>
      <c r="FO95" s="65">
        <f t="shared" si="26"/>
        <v>154091.91008841785</v>
      </c>
      <c r="FP95" s="65">
        <f t="shared" si="101"/>
        <v>10080.779164662847</v>
      </c>
      <c r="FQ95" s="59">
        <f t="shared" si="27"/>
        <v>70.565454152639944</v>
      </c>
      <c r="FR95" s="60">
        <f t="shared" si="28"/>
        <v>3081.8382017683571</v>
      </c>
      <c r="FS95" s="65">
        <f t="shared" si="102"/>
        <v>0</v>
      </c>
      <c r="FT95" s="65">
        <f t="shared" si="103"/>
        <v>0</v>
      </c>
      <c r="FU95" s="65">
        <f t="shared" si="29"/>
        <v>0</v>
      </c>
      <c r="FV95" s="65">
        <f t="shared" si="61"/>
        <v>357.72062800148279</v>
      </c>
      <c r="FW95" s="61">
        <f t="shared" si="62"/>
        <v>2724.1175737668741</v>
      </c>
      <c r="FX95" s="61">
        <f>IF(AND(FJ95&lt;=$GF$88+$C$10,FV94&lt;=0,FN95&gt;0),(FJ95-$C$10+1)*AG95+$GF$80,FX94)</f>
        <v>73074.599999999977</v>
      </c>
      <c r="FY95" s="62">
        <f t="shared" si="63"/>
        <v>1.6932418742045563</v>
      </c>
      <c r="FZ95" s="63">
        <f t="shared" si="104"/>
        <v>154091.91008841785</v>
      </c>
      <c r="GA95" s="64">
        <f t="shared" si="105"/>
        <v>2939.0026719133671</v>
      </c>
      <c r="GB95" s="64">
        <f t="shared" si="106"/>
        <v>30775.633666015543</v>
      </c>
      <c r="GC95" s="66">
        <f t="shared" si="30"/>
        <v>0</v>
      </c>
      <c r="GD95" s="64">
        <f t="shared" si="107"/>
        <v>1580.6039999999994</v>
      </c>
      <c r="GE95" s="52" t="s">
        <v>14</v>
      </c>
      <c r="GF95" s="53">
        <f>(GF93)/GF94</f>
        <v>1.9911969155469196</v>
      </c>
      <c r="GI95" s="28">
        <f t="shared" si="108"/>
        <v>2036</v>
      </c>
      <c r="GJ95" s="9">
        <f>IF($GX$88+$C$10&gt;=GI95,-AG95,IF(GI95=$GX$88+$C$10+1,$FB$93,0))</f>
        <v>-26440.379802517418</v>
      </c>
      <c r="GK95" s="5">
        <f t="shared" si="109"/>
        <v>358080.30405889929</v>
      </c>
      <c r="GL95" s="5">
        <f t="shared" si="110"/>
        <v>521209.86089941842</v>
      </c>
      <c r="GM95" s="35">
        <f t="shared" si="65"/>
        <v>29003.965658391779</v>
      </c>
      <c r="GN95" s="4">
        <f t="shared" si="31"/>
        <v>588728.79441685695</v>
      </c>
      <c r="GO95" s="5">
        <f t="shared" si="111"/>
        <v>38514.967859046767</v>
      </c>
      <c r="GP95" s="5">
        <f t="shared" si="32"/>
        <v>269.60477501332696</v>
      </c>
      <c r="GQ95" s="5">
        <f t="shared" si="112"/>
        <v>269.60477501332696</v>
      </c>
      <c r="GR95" s="4">
        <f t="shared" si="33"/>
        <v>49.775781586835485</v>
      </c>
      <c r="GS95" s="7">
        <f t="shared" si="113"/>
        <v>1614.5394325057023</v>
      </c>
      <c r="GT95" s="107" t="e">
        <f>IF($DG$62=0,EX95,IF(GI95-$C$10+1&lt;=$GF$98,0,#REF!-FX95))</f>
        <v>#REF!</v>
      </c>
      <c r="GU95"/>
      <c r="GV95"/>
      <c r="GW95" s="52" t="s">
        <v>14</v>
      </c>
      <c r="GX95" s="106" t="e">
        <f>(GX93)/GX94</f>
        <v>#REF!</v>
      </c>
    </row>
    <row r="96" spans="1:212" s="74" customFormat="1" ht="16.149999999999999" thickBot="1" x14ac:dyDescent="0.55000000000000004">
      <c r="A96" s="75"/>
      <c r="B96" s="331"/>
      <c r="C96" s="282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AB96" s="117" t="str">
        <f t="shared" si="34"/>
        <v/>
      </c>
      <c r="AC96" s="117" t="str">
        <f t="shared" si="35"/>
        <v/>
      </c>
      <c r="AD96" s="299">
        <f>IF($C$20="NEIN",$C$21,IF($C$22="JA",'HISTORISCHE RENDITEN'!E20,'HISTORISCHE RENDITEN'!D20))</f>
        <v>3.3599999999999998E-2</v>
      </c>
      <c r="AE96" s="129">
        <f t="shared" si="116"/>
        <v>44</v>
      </c>
      <c r="AF96" s="120">
        <f t="shared" si="37"/>
        <v>2037</v>
      </c>
      <c r="AG96" s="122">
        <f t="shared" si="0"/>
        <v>26576.29182958552</v>
      </c>
      <c r="AH96" s="124">
        <f t="shared" si="38"/>
        <v>430891.77838569693</v>
      </c>
      <c r="AI96" s="296">
        <f t="shared" si="114"/>
        <v>1106853.5807496931</v>
      </c>
      <c r="AJ96" s="123">
        <f t="shared" si="67"/>
        <v>26576.29182958552</v>
      </c>
      <c r="AK96" s="124">
        <f t="shared" si="68"/>
        <v>1171513.1162979426</v>
      </c>
      <c r="AL96" s="122">
        <f t="shared" si="1"/>
        <v>38083.243718663929</v>
      </c>
      <c r="AM96" s="122">
        <f>IF($C$25="Ausschütter",0,IF(AL96&gt;=0,(AI96+AJ96)*$C$48*0.7))</f>
        <v>555.38063756384656</v>
      </c>
      <c r="AN96" s="122">
        <f t="shared" si="2"/>
        <v>0</v>
      </c>
      <c r="AO96" s="122">
        <f t="shared" si="39"/>
        <v>555.38063756384656</v>
      </c>
      <c r="AP96" s="122">
        <f t="shared" si="69"/>
        <v>3028.1477116909996</v>
      </c>
      <c r="AQ96" s="122">
        <f>IF($C$25="AUSSCHÜTTER",0,IF(AO96*$C$46*$C$49&lt;=$C$47,0,AO96*$C$46*$C$49))</f>
        <v>0</v>
      </c>
      <c r="AR96" s="122">
        <f>IF(AO95*$C$49&gt;$C$47,(AN96)*$C$49*$C$46,IF((AO95+AN96)*$C$49&gt;$C$47,((AO95+AN96)*$C$49-$C$47)*$C$46,0))</f>
        <v>0</v>
      </c>
      <c r="AS96" s="122">
        <f t="shared" si="70"/>
        <v>0</v>
      </c>
      <c r="AT96" s="122">
        <f t="shared" si="40"/>
        <v>430891.77838569693</v>
      </c>
      <c r="AU96" s="122">
        <f t="shared" si="115"/>
        <v>0</v>
      </c>
      <c r="AV96" s="122">
        <f t="shared" si="71"/>
        <v>1171513.1162979426</v>
      </c>
      <c r="AW96" s="122">
        <f t="shared" si="41"/>
        <v>0</v>
      </c>
      <c r="AX96" s="130">
        <f t="shared" si="42"/>
        <v>0</v>
      </c>
      <c r="AY96" s="82">
        <f>IF(AF96&lt;$C$11,$C$15*(1+$C$19)^(AF96-$C$10),0)</f>
        <v>53297.393001475655</v>
      </c>
      <c r="AZ96" s="82">
        <f>$C$14*(1+$C$37)^(AF96-$C$10)</f>
        <v>26721.101171890135</v>
      </c>
      <c r="BA96" s="165">
        <f>IF(AF96&lt;$C$11,0,MAX($C$38*AI96,AZ96))</f>
        <v>0</v>
      </c>
      <c r="BB96" s="82">
        <f>IF(AF96&lt;$C$11,0,MAX($C$38*AI96,AZ96))</f>
        <v>0</v>
      </c>
      <c r="BC96" s="136">
        <f>IF($C$39="JA",CT96,DG96)</f>
        <v>0</v>
      </c>
      <c r="BD96" s="82">
        <f t="shared" si="3"/>
        <v>0</v>
      </c>
      <c r="BE96" s="82">
        <f>IF(AF96&lt;($C$8+$C$30),0,$C$29*12*(1-$C$31))</f>
        <v>0</v>
      </c>
      <c r="BF96" s="82">
        <f>IF(AF96&lt;($C$8+$C$34),0,$C$33*12*(1-$C$35))</f>
        <v>0</v>
      </c>
      <c r="BG96" s="82">
        <f>IF(AF96&lt;$C$11,0,IF(AI96&lt;0,$C$42*(1+$C$44)^(AF96-$C$10),IF(((AL96+BE96+BF96)*$C$41)&lt;$C$42*(1+$C$44)^(AF96-$C$10),$C$42*(1+$C$44)^(AF96-$C$10),IF(((AL96+BE96+BF96)*$C$41)&lt;$C$43*(1+$C$44)^(AF96-$C$10),(AL96+BE96+BF96)*$C$41,IF(((AL96+BE96+BF96+BB96)*$C$41)&lt;$C$43*(1+$C$44)^(AF96-$C$10),((AL96+BE96+BF96+BB96)*$C$41),$C$43*(1+$C$44)^(AF96-$C$10))))))</f>
        <v>0</v>
      </c>
      <c r="BH96" s="82">
        <f t="shared" si="72"/>
        <v>26721.101171890135</v>
      </c>
      <c r="BI96" s="242">
        <f t="shared" si="73"/>
        <v>1198234.2174698326</v>
      </c>
      <c r="BJ96" s="217">
        <f t="shared" si="74"/>
        <v>1171513.1162979426</v>
      </c>
      <c r="BK96" s="118"/>
      <c r="BL96" s="219">
        <f t="shared" si="4"/>
        <v>0</v>
      </c>
      <c r="BM96" s="220">
        <f t="shared" si="5"/>
        <v>17</v>
      </c>
      <c r="BN96" s="220">
        <f t="shared" si="6"/>
        <v>1</v>
      </c>
      <c r="BO96" s="221">
        <f t="shared" si="7"/>
        <v>28897.437546249748</v>
      </c>
      <c r="BP96" s="221">
        <f t="shared" si="8"/>
        <v>26576.29182958552</v>
      </c>
      <c r="BQ96" s="222">
        <f t="shared" si="9"/>
        <v>8.7338961038960994E-2</v>
      </c>
      <c r="BR96" s="223">
        <f>IF(BM96&lt;$C$11-$C$10+1,0,IF(BL96&lt;=$C$13,VLOOKUP(BL96,$BN$80:$BQ$156,2,FALSE)-BS96,0))</f>
        <v>0</v>
      </c>
      <c r="BS96" s="223">
        <f>IF(BM96&lt;$C$11-$C$10+1,0,IF(BL96&lt;=$C$13,VLOOKUP(BL96,$BN$80:$BQ$156,3,FALSE),0))</f>
        <v>0</v>
      </c>
      <c r="BT96" s="222">
        <f>IF(BM96&lt;$C$11-$C$10+1,0,IF(BL96&lt;=$C$13,VLOOKUP(BL96,$BN$80:$BQ$156,4,FALSE),0))</f>
        <v>0</v>
      </c>
      <c r="BU96" s="223">
        <f t="shared" si="43"/>
        <v>0</v>
      </c>
      <c r="BV96" s="223">
        <f t="shared" si="44"/>
        <v>0</v>
      </c>
      <c r="BW96" s="223">
        <f t="shared" ref="BW96:BW155" si="118">BU96-BV96</f>
        <v>0</v>
      </c>
      <c r="BX96" s="223">
        <f>IF(AND(BS96&lt;=0,BN96=0),MIN((MAX($BZ$80:$BZ$156)-SUM($BX$80:BX95)),CA96),IF(BS96&lt;CA96,BS96,CA96))</f>
        <v>0</v>
      </c>
      <c r="BY96" s="222">
        <f>IF(BN96&gt;0,0,IF(AND(BN96=0,BT96&lt;=0),100%,((BW95*(AVERAGE($BT$80:BT95))+(BR96*BT96))/(BR96+BW95+BS96+BV95))))</f>
        <v>0</v>
      </c>
      <c r="BZ96" s="139">
        <f t="shared" si="46"/>
        <v>430891.77838569693</v>
      </c>
      <c r="CA96" s="122">
        <f t="shared" si="10"/>
        <v>0</v>
      </c>
      <c r="CB96" s="181">
        <f t="shared" si="47"/>
        <v>0</v>
      </c>
      <c r="CC96" s="122">
        <f t="shared" si="48"/>
        <v>0</v>
      </c>
      <c r="CD96" s="182">
        <f>BX96</f>
        <v>0</v>
      </c>
      <c r="CE96" s="122">
        <f>CD96+CE95</f>
        <v>0</v>
      </c>
      <c r="CF96" s="122">
        <f t="shared" si="76"/>
        <v>430891.77838569693</v>
      </c>
      <c r="CG96" s="122" t="str">
        <f t="shared" si="12"/>
        <v/>
      </c>
      <c r="CH96" s="140">
        <f t="shared" si="13"/>
        <v>0</v>
      </c>
      <c r="CI96" s="142">
        <f t="shared" si="77"/>
        <v>9984</v>
      </c>
      <c r="CJ96" s="134">
        <f>CI96*$C$57</f>
        <v>0</v>
      </c>
      <c r="CK96" s="142">
        <f t="shared" si="78"/>
        <v>14926</v>
      </c>
      <c r="CL96" s="134">
        <f>CK96*$C$57</f>
        <v>0</v>
      </c>
      <c r="CM96" s="142">
        <f t="shared" si="79"/>
        <v>58596</v>
      </c>
      <c r="CN96" s="134">
        <f>CM96*$C$57</f>
        <v>0</v>
      </c>
      <c r="CO96" s="132">
        <f t="shared" si="117"/>
        <v>0</v>
      </c>
      <c r="CP96" s="140">
        <f t="shared" si="14"/>
        <v>0</v>
      </c>
      <c r="CQ96" s="121" t="str">
        <f>IF($C$50="NEIN","NEIN",IF(CS96&lt;CR96,"JA","NEIN"))</f>
        <v>NEIN</v>
      </c>
      <c r="CR96" s="121">
        <f>CO96*$C$46</f>
        <v>0</v>
      </c>
      <c r="CS96" s="121">
        <f t="shared" si="15"/>
        <v>0</v>
      </c>
      <c r="CT96" s="201">
        <f>IF($C$50="NEIN",CR96,IF(CQ96="NEIN",CR96,CS96))</f>
        <v>0</v>
      </c>
      <c r="CU96" s="149"/>
      <c r="CV96" s="202">
        <f t="shared" si="80"/>
        <v>9984</v>
      </c>
      <c r="CW96" s="134">
        <f>CV96*$C$57</f>
        <v>0</v>
      </c>
      <c r="CX96" s="142">
        <f t="shared" si="81"/>
        <v>14926</v>
      </c>
      <c r="CY96" s="134">
        <f>CX96*$C$57</f>
        <v>0</v>
      </c>
      <c r="CZ96" s="142">
        <f t="shared" si="82"/>
        <v>58596</v>
      </c>
      <c r="DA96" s="143">
        <f>CZ96*$C$57</f>
        <v>0</v>
      </c>
      <c r="DB96" s="165">
        <f>IF(BB96-BD96&lt;0,0,BB96-BD96)</f>
        <v>0</v>
      </c>
      <c r="DC96" s="140">
        <f t="shared" si="50"/>
        <v>0</v>
      </c>
      <c r="DD96" s="121" t="str">
        <f>IF($C$50="NEIN","NEIN",IF(DF96&lt;DE96,"JA","NEIN"))</f>
        <v>NEIN</v>
      </c>
      <c r="DE96" s="121">
        <f>DB96*$C$46</f>
        <v>0</v>
      </c>
      <c r="DF96" s="121">
        <f t="shared" si="17"/>
        <v>0</v>
      </c>
      <c r="DG96" s="201">
        <f>IF($C$50="NEIN",DE96,IF(DD96="NEIN",DE96,DF96))</f>
        <v>0</v>
      </c>
      <c r="DH96" s="159"/>
      <c r="DK96" s="128"/>
      <c r="DL96" s="128"/>
      <c r="DM96" s="128"/>
      <c r="DO96" s="28">
        <f t="shared" si="83"/>
        <v>2037</v>
      </c>
      <c r="DP96" s="17">
        <f>IF($C$13+$C$10&gt;=DO96,-AG96,IF(DO96=$C$13+$C$10+1,$EK$93,0))</f>
        <v>-26576.29182958552</v>
      </c>
      <c r="DQ96" s="17">
        <f t="shared" si="84"/>
        <v>518285.0415062207</v>
      </c>
      <c r="DR96" s="17">
        <f t="shared" si="85"/>
        <v>713978.54578883131</v>
      </c>
      <c r="DS96" s="17">
        <f t="shared" si="51"/>
        <v>38668.37714637263</v>
      </c>
      <c r="DT96" s="17">
        <f t="shared" si="18"/>
        <v>805332.2075406682</v>
      </c>
      <c r="DU96" s="17">
        <f t="shared" si="86"/>
        <v>52685.284605464316</v>
      </c>
      <c r="DV96" s="33">
        <f t="shared" si="19"/>
        <v>368.79699223824986</v>
      </c>
      <c r="DW96" s="32">
        <f t="shared" si="20"/>
        <v>16106.644150813365</v>
      </c>
      <c r="DX96" s="17">
        <f t="shared" si="87"/>
        <v>0</v>
      </c>
      <c r="DY96" s="17">
        <f t="shared" si="88"/>
        <v>0</v>
      </c>
      <c r="DZ96" s="17">
        <f t="shared" si="21"/>
        <v>0</v>
      </c>
      <c r="EA96" s="17">
        <f t="shared" si="53"/>
        <v>2762.425426343917</v>
      </c>
      <c r="EB96" s="15">
        <f t="shared" si="54"/>
        <v>13344.218724469447</v>
      </c>
      <c r="EC96" s="15">
        <f>IF(DP96=0,EC95,IF(DO96&lt;=$EK$88+$C$10,ABS(DP96)+EC95,EC95))</f>
        <v>430891.77838569693</v>
      </c>
      <c r="ED96" s="15">
        <f t="shared" si="89"/>
        <v>18565.546309528614</v>
      </c>
      <c r="EE96" s="16">
        <f t="shared" si="90"/>
        <v>805332.2075406682</v>
      </c>
      <c r="EF96" s="15">
        <f t="shared" si="22"/>
        <v>12092.08531678711</v>
      </c>
      <c r="EG96" s="15">
        <f t="shared" si="91"/>
        <v>87393.263120523887</v>
      </c>
      <c r="EH96" s="16"/>
      <c r="EI96" s="16"/>
      <c r="EJ96" s="57" t="s">
        <v>44</v>
      </c>
      <c r="EK96" s="48">
        <f>VLOOKUP(EK88+C10-1,DO80:EG179,19,FALSE)</f>
        <v>87393.263120523887</v>
      </c>
      <c r="EL96" s="114"/>
      <c r="EM96" s="28">
        <f t="shared" si="92"/>
        <v>2037</v>
      </c>
      <c r="EN96" s="29">
        <f>IF($C$13+$C$10&gt;=EM96,-(AG96),IF(EM96=$C$13+$C$10+1,$FB$93,0))</f>
        <v>-26576.29182958552</v>
      </c>
      <c r="EO96" s="30">
        <f t="shared" si="93"/>
        <v>430891.77838569693</v>
      </c>
      <c r="EP96" s="30">
        <f t="shared" si="94"/>
        <v>747151.92760127794</v>
      </c>
      <c r="EQ96" s="30">
        <f t="shared" si="56"/>
        <v>26576.29182958552</v>
      </c>
      <c r="ER96" s="25">
        <f t="shared" si="23"/>
        <v>827889.19479102397</v>
      </c>
      <c r="ES96" s="30">
        <f t="shared" si="95"/>
        <v>54160.975360160461</v>
      </c>
      <c r="ET96" s="26">
        <f t="shared" si="24"/>
        <v>379.12682752112306</v>
      </c>
      <c r="EU96" s="30">
        <f t="shared" si="96"/>
        <v>379.12682752112306</v>
      </c>
      <c r="EV96" s="25">
        <f t="shared" si="25"/>
        <v>0</v>
      </c>
      <c r="EW96" s="31">
        <f t="shared" si="97"/>
        <v>2778.9819148372871</v>
      </c>
      <c r="EX96" s="27">
        <f>IF(EM96=0,EX95,IF(EM96&lt;=$FB$88+$C$10,ABS(EN96)+EX95,EX95))</f>
        <v>430891.77838569693</v>
      </c>
      <c r="EY96" s="15"/>
      <c r="EZ96"/>
      <c r="FA96" s="36"/>
      <c r="FB96" s="37"/>
      <c r="FJ96" s="28">
        <f t="shared" si="98"/>
        <v>2037</v>
      </c>
      <c r="FK96" s="65">
        <f>IF($C$13+$C$10&gt;=FJ96,-AG96,IF(FJ96=$C$13+$C$10+1,$EK$93,0))</f>
        <v>-26576.29182958552</v>
      </c>
      <c r="FL96" s="65">
        <f t="shared" si="99"/>
        <v>74118.803999999975</v>
      </c>
      <c r="FM96" s="65">
        <f t="shared" si="100"/>
        <v>151010.0718866495</v>
      </c>
      <c r="FN96" s="65">
        <f t="shared" si="59"/>
        <v>0</v>
      </c>
      <c r="FO96" s="65">
        <f t="shared" si="26"/>
        <v>161580.77691871498</v>
      </c>
      <c r="FP96" s="65">
        <f t="shared" si="101"/>
        <v>10570.705032065482</v>
      </c>
      <c r="FQ96" s="59">
        <f t="shared" si="27"/>
        <v>73.994935224458246</v>
      </c>
      <c r="FR96" s="60">
        <f t="shared" si="28"/>
        <v>3231.6155383742998</v>
      </c>
      <c r="FS96" s="65">
        <f t="shared" si="102"/>
        <v>0</v>
      </c>
      <c r="FT96" s="65">
        <f t="shared" si="103"/>
        <v>0</v>
      </c>
      <c r="FU96" s="65">
        <f t="shared" si="29"/>
        <v>0</v>
      </c>
      <c r="FV96" s="65">
        <f t="shared" si="61"/>
        <v>385.37326877235506</v>
      </c>
      <c r="FW96" s="61">
        <f t="shared" si="62"/>
        <v>2846.2422696019448</v>
      </c>
      <c r="FX96" s="61">
        <f>IF(AND(FJ96&lt;=$GF$88+$C$10,FV95&lt;=0,FN96&gt;0),(FJ96-$C$10+1)*AG96+$GF$80,FX95)</f>
        <v>73074.599999999977</v>
      </c>
      <c r="FY96" s="62">
        <f t="shared" si="63"/>
        <v>1.8241334292908986</v>
      </c>
      <c r="FZ96" s="63">
        <f t="shared" si="104"/>
        <v>161580.77691871498</v>
      </c>
      <c r="GA96" s="64">
        <f t="shared" si="105"/>
        <v>3081.8382017683571</v>
      </c>
      <c r="GB96" s="64">
        <f t="shared" si="106"/>
        <v>33857.471867783897</v>
      </c>
      <c r="GC96" s="66">
        <f t="shared" si="30"/>
        <v>0</v>
      </c>
      <c r="GD96" s="64">
        <f t="shared" si="107"/>
        <v>1580.6039999999994</v>
      </c>
      <c r="GE96" s="57" t="s">
        <v>48</v>
      </c>
      <c r="GF96" s="48">
        <f>VLOOKUP(GF88+C10-1,FJ80:GD179,21,FALSE)</f>
        <v>1580.6039999999994</v>
      </c>
      <c r="GI96" s="28">
        <f t="shared" si="108"/>
        <v>2037</v>
      </c>
      <c r="GJ96" s="9">
        <f>IF($GX$88+$C$10&gt;=GI96,-AG96,IF(GI96=$GX$88+$C$10+1,$FB$93,0))</f>
        <v>-26576.29182958552</v>
      </c>
      <c r="GK96" s="5">
        <f t="shared" si="109"/>
        <v>387330.93768066482</v>
      </c>
      <c r="GL96" s="5">
        <f t="shared" si="110"/>
        <v>588728.79441685695</v>
      </c>
      <c r="GM96" s="35">
        <f t="shared" si="65"/>
        <v>29250.633621765559</v>
      </c>
      <c r="GN96" s="4">
        <f t="shared" si="31"/>
        <v>661237.9880013261</v>
      </c>
      <c r="GO96" s="5">
        <f t="shared" si="111"/>
        <v>43258.559962703614</v>
      </c>
      <c r="GP96" s="5">
        <f t="shared" si="32"/>
        <v>302.80991973892498</v>
      </c>
      <c r="GQ96" s="5">
        <f t="shared" si="112"/>
        <v>302.80991973892498</v>
      </c>
      <c r="GR96" s="4">
        <f t="shared" si="33"/>
        <v>55.906281431799023</v>
      </c>
      <c r="GS96" s="7">
        <f t="shared" si="113"/>
        <v>1917.3493522446272</v>
      </c>
      <c r="GT96" s="107" t="e">
        <f>IF($DG$62=0,EX96,IF(GI96-$C$10+1&lt;=$GF$98,0,#REF!-FX96))</f>
        <v>#REF!</v>
      </c>
      <c r="GU96"/>
      <c r="GV96"/>
      <c r="GW96" s="57" t="s">
        <v>51</v>
      </c>
      <c r="GX96" s="48">
        <f>GF99</f>
        <v>32276.867867783898</v>
      </c>
    </row>
    <row r="97" spans="1:212" s="74" customFormat="1" ht="16.149999999999999" thickBot="1" x14ac:dyDescent="0.55000000000000004">
      <c r="A97" s="75"/>
      <c r="B97" s="331"/>
      <c r="C97" s="282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AB97" s="117" t="str">
        <f t="shared" si="34"/>
        <v/>
      </c>
      <c r="AC97" s="117" t="str">
        <f t="shared" si="35"/>
        <v/>
      </c>
      <c r="AD97" s="299">
        <f>IF($C$20="NEIN",$C$21,IF($C$22="JA",'HISTORISCHE RENDITEN'!E21,'HISTORISCHE RENDITEN'!D21))</f>
        <v>0.187</v>
      </c>
      <c r="AE97" s="129">
        <f t="shared" si="116"/>
        <v>45</v>
      </c>
      <c r="AF97" s="120">
        <f t="shared" si="37"/>
        <v>2038</v>
      </c>
      <c r="AG97" s="122">
        <f t="shared" si="0"/>
        <v>0</v>
      </c>
      <c r="AH97" s="124">
        <f t="shared" si="38"/>
        <v>430891.77838569693</v>
      </c>
      <c r="AI97" s="296">
        <f t="shared" si="114"/>
        <v>1171513.1162979426</v>
      </c>
      <c r="AJ97" s="123">
        <f t="shared" si="67"/>
        <v>0</v>
      </c>
      <c r="AK97" s="124">
        <f t="shared" si="68"/>
        <v>1390586.069045658</v>
      </c>
      <c r="AL97" s="122">
        <f t="shared" si="1"/>
        <v>219072.9527477154</v>
      </c>
      <c r="AM97" s="122">
        <f>IF($C$25="Ausschütter",0,IF(AL97&gt;=0,(AI97+AJ97)*$C$48*0.7))</f>
        <v>574.04142698599185</v>
      </c>
      <c r="AN97" s="122">
        <f t="shared" si="2"/>
        <v>0</v>
      </c>
      <c r="AO97" s="122">
        <f t="shared" si="39"/>
        <v>574.04142698599185</v>
      </c>
      <c r="AP97" s="122">
        <f t="shared" si="69"/>
        <v>3602.1891386769912</v>
      </c>
      <c r="AQ97" s="122">
        <f>IF($C$25="AUSSCHÜTTER",0,IF(AO97*$C$46*$C$49&lt;=$C$47,0,AO97*$C$46*$C$49))</f>
        <v>0</v>
      </c>
      <c r="AR97" s="122">
        <f>IF(AO96*$C$49&gt;$C$47,(AN97)*$C$49*$C$46,IF((AO96+AN97)*$C$49&gt;$C$47,((AO96+AN97)*$C$49-$C$47)*$C$46,0))</f>
        <v>0</v>
      </c>
      <c r="AS97" s="122">
        <f t="shared" si="70"/>
        <v>0</v>
      </c>
      <c r="AT97" s="122">
        <f t="shared" si="40"/>
        <v>430891.77838569693</v>
      </c>
      <c r="AU97" s="122">
        <f t="shared" si="115"/>
        <v>0</v>
      </c>
      <c r="AV97" s="122">
        <f t="shared" si="71"/>
        <v>1390586.069045658</v>
      </c>
      <c r="AW97" s="122">
        <f t="shared" si="41"/>
        <v>0</v>
      </c>
      <c r="AX97" s="130">
        <f t="shared" si="42"/>
        <v>0</v>
      </c>
      <c r="AY97" s="82">
        <f>IF(AF97&lt;$C$11,$C$15*(1+$C$19)^(AF97-$C$10),0)</f>
        <v>0</v>
      </c>
      <c r="AZ97" s="82">
        <f>$C$14*(1+$C$37)^(AF97-$C$10)</f>
        <v>27389.128701187386</v>
      </c>
      <c r="BA97" s="165">
        <f>IF(AF97&lt;$C$11,0,MAX($C$38*AI97,AZ97))</f>
        <v>35145.39348893828</v>
      </c>
      <c r="BB97" s="82">
        <f>IF(AF97&lt;$C$11,0,MAX($C$38*AI97,AZ97))</f>
        <v>35145.39348893828</v>
      </c>
      <c r="BC97" s="136">
        <f>IF($C$39="JA",CT97,DG97)</f>
        <v>9269.5975327074702</v>
      </c>
      <c r="BD97" s="82">
        <f t="shared" si="3"/>
        <v>0</v>
      </c>
      <c r="BE97" s="82">
        <f>IF(AF97&lt;($C$8+$C$30),0,$C$29*12*(1-$C$31))</f>
        <v>0</v>
      </c>
      <c r="BF97" s="82">
        <f>IF(AF97&lt;($C$8+$C$34),0,$C$33*12*(1-$C$35))</f>
        <v>0</v>
      </c>
      <c r="BG97" s="82">
        <f>IF(AF97&lt;$C$11,0,IF(AI97&lt;0,$C$42*(1+$C$44)^(AF97-$C$10),IF(((AL97+BE97+BF97)*$C$41)&lt;$C$42*(1+$C$44)^(AF97-$C$10),$C$42*(1+$C$44)^(AF97-$C$10),IF(((AL97+BE97+BF97)*$C$41)&lt;$C$43*(1+$C$44)^(AF97-$C$10),(AL97+BE97+BF97)*$C$41,IF(((AL97+BE97+BF97+BB97)*$C$41)&lt;$C$43*(1+$C$44)^(AF97-$C$10),((AL97+BE97+BF97+BB97)*$C$41),$C$43*(1+$C$44)^(AF97-$C$10))))))</f>
        <v>13910.619573385144</v>
      </c>
      <c r="BH97" s="82">
        <f t="shared" si="72"/>
        <v>58325.610595030892</v>
      </c>
      <c r="BI97" s="242">
        <f t="shared" si="73"/>
        <v>1390586.069045658</v>
      </c>
      <c r="BJ97" s="217">
        <f t="shared" si="74"/>
        <v>1332260.458450627</v>
      </c>
      <c r="BK97" s="118"/>
      <c r="BL97" s="219">
        <f t="shared" si="4"/>
        <v>1</v>
      </c>
      <c r="BM97" s="220">
        <f t="shared" si="5"/>
        <v>18</v>
      </c>
      <c r="BN97" s="220">
        <f t="shared" si="6"/>
        <v>0</v>
      </c>
      <c r="BO97" s="221">
        <f t="shared" si="7"/>
        <v>0</v>
      </c>
      <c r="BP97" s="221">
        <f t="shared" si="8"/>
        <v>0</v>
      </c>
      <c r="BQ97" s="222">
        <f t="shared" si="9"/>
        <v>0</v>
      </c>
      <c r="BR97" s="223">
        <f>IF(BM97&lt;$C$11-$C$10+1,0,IF(BL97&lt;=$C$13,VLOOKUP(BL97,$BN$80:$BQ$156,2,FALSE)-BS97,0))</f>
        <v>2321.1457166642285</v>
      </c>
      <c r="BS97" s="223">
        <f>IF(BM97&lt;$C$11-$C$10+1,0,IF(BL97&lt;=$C$13,VLOOKUP(BL97,$BN$80:$BQ$156,3,FALSE),0))</f>
        <v>26576.29182958552</v>
      </c>
      <c r="BT97" s="222">
        <f>IF(BM97&lt;$C$11-$C$10+1,0,IF(BL97&lt;=$C$13,VLOOKUP(BL97,$BN$80:$BQ$156,4,FALSE),0))</f>
        <v>8.7338961038960994E-2</v>
      </c>
      <c r="BU97" s="223">
        <f t="shared" si="43"/>
        <v>0</v>
      </c>
      <c r="BV97" s="223">
        <f t="shared" si="44"/>
        <v>0</v>
      </c>
      <c r="BW97" s="223">
        <f t="shared" si="118"/>
        <v>0</v>
      </c>
      <c r="BX97" s="223">
        <f>IF(AND(BS97&lt;=0,BN97=0),MIN((MAX($BZ$80:$BZ$156)-SUM($BX$80:BX96)),CA97),IF(BS97&lt;CA97,BS97,CA97))</f>
        <v>26576.29182958552</v>
      </c>
      <c r="BY97" s="222">
        <f>IF(BN97&gt;0,0,IF(AND(BN97=0,BT97&lt;=0),100%,((BW96*(AVERAGE($BT$80:BT96))+(BR97*BT97))/(BR97+BW96+BS97+BV96))))</f>
        <v>7.0153782662919087E-3</v>
      </c>
      <c r="BZ97" s="139">
        <f t="shared" si="46"/>
        <v>430891.77838569693</v>
      </c>
      <c r="CA97" s="122">
        <f t="shared" si="10"/>
        <v>35145.39348893828</v>
      </c>
      <c r="CB97" s="181">
        <f t="shared" si="47"/>
        <v>7.0153782662919087E-3</v>
      </c>
      <c r="CC97" s="122">
        <f t="shared" si="48"/>
        <v>35145.39348893828</v>
      </c>
      <c r="CD97" s="182">
        <f t="shared" ref="CD97:CD155" si="119">BX97</f>
        <v>26576.29182958552</v>
      </c>
      <c r="CE97" s="122">
        <f t="shared" si="75"/>
        <v>26576.29182958552</v>
      </c>
      <c r="CF97" s="122">
        <f t="shared" si="76"/>
        <v>404315.48655611143</v>
      </c>
      <c r="CG97" s="122" t="str">
        <f t="shared" si="12"/>
        <v>JA</v>
      </c>
      <c r="CH97" s="140">
        <f t="shared" si="13"/>
        <v>7.0153782662919087E-3</v>
      </c>
      <c r="CI97" s="142">
        <f t="shared" si="77"/>
        <v>9984</v>
      </c>
      <c r="CJ97" s="134">
        <f>CI97*$C$57</f>
        <v>0</v>
      </c>
      <c r="CK97" s="142">
        <f t="shared" si="78"/>
        <v>14926</v>
      </c>
      <c r="CL97" s="134">
        <f>CK97*$C$57</f>
        <v>0</v>
      </c>
      <c r="CM97" s="142">
        <f t="shared" si="79"/>
        <v>58596</v>
      </c>
      <c r="CN97" s="134">
        <f>CM97*$C$57</f>
        <v>0</v>
      </c>
      <c r="CO97" s="132">
        <f>CA97*CH97</f>
        <v>246.55822964257476</v>
      </c>
      <c r="CP97" s="140">
        <f t="shared" si="14"/>
        <v>0</v>
      </c>
      <c r="CQ97" s="121" t="str">
        <f>IF($C$50="NEIN","NEIN",IF(CS97&lt;CR97,"JA","NEIN"))</f>
        <v>NEIN</v>
      </c>
      <c r="CR97" s="121">
        <f>CO97*$C$46</f>
        <v>65.029733068229092</v>
      </c>
      <c r="CS97" s="121">
        <f t="shared" si="15"/>
        <v>0</v>
      </c>
      <c r="CT97" s="201">
        <f>IF($C$50="NEIN",CR97,IF(CQ97="NEIN",CR97,CS97))</f>
        <v>65.029733068229092</v>
      </c>
      <c r="CU97" s="149"/>
      <c r="CV97" s="202">
        <f t="shared" si="80"/>
        <v>9984</v>
      </c>
      <c r="CW97" s="134">
        <f>CV97*$C$57</f>
        <v>0</v>
      </c>
      <c r="CX97" s="142">
        <f t="shared" si="81"/>
        <v>14926</v>
      </c>
      <c r="CY97" s="134">
        <f>CX97*$C$57</f>
        <v>0</v>
      </c>
      <c r="CZ97" s="142">
        <f t="shared" si="82"/>
        <v>58596</v>
      </c>
      <c r="DA97" s="143">
        <f>CZ97*$C$57</f>
        <v>0</v>
      </c>
      <c r="DB97" s="165">
        <f t="shared" ref="DB97:DB155" si="120">IF(BB97-BD97&lt;0,0,BB97-BD97)</f>
        <v>35145.39348893828</v>
      </c>
      <c r="DC97" s="140">
        <f t="shared" si="50"/>
        <v>0.32334075630888232</v>
      </c>
      <c r="DD97" s="121" t="str">
        <f>IF($C$50="NEIN","NEIN",IF(DF97&lt;DE97,"JA","NEIN"))</f>
        <v>NEIN</v>
      </c>
      <c r="DE97" s="121">
        <f>DB97*$C$46</f>
        <v>9269.5975327074702</v>
      </c>
      <c r="DF97" s="121">
        <f t="shared" si="17"/>
        <v>6628.763740457337</v>
      </c>
      <c r="DG97" s="201">
        <f>IF($C$50="NEIN",DE97,IF(DD97="NEIN",DE97,DF97))</f>
        <v>9269.5975327074702</v>
      </c>
      <c r="DH97" s="159"/>
      <c r="DK97" s="128"/>
      <c r="DL97" s="128"/>
      <c r="DM97" s="128"/>
      <c r="DO97" s="28">
        <f t="shared" si="83"/>
        <v>2038</v>
      </c>
      <c r="DP97" s="17">
        <f>IF($C$13+$C$10&gt;=DO97,-AG97,IF(DO97=$C$13+$C$10+1,$EK$93,0))</f>
        <v>0</v>
      </c>
      <c r="DQ97" s="17">
        <f t="shared" si="84"/>
        <v>531629.26023069012</v>
      </c>
      <c r="DR97" s="17">
        <f t="shared" si="85"/>
        <v>789225.56338985485</v>
      </c>
      <c r="DS97" s="17">
        <f t="shared" si="51"/>
        <v>13344.218724469447</v>
      </c>
      <c r="DT97" s="17">
        <f t="shared" si="18"/>
        <v>858749.66686232702</v>
      </c>
      <c r="DU97" s="17">
        <f t="shared" si="86"/>
        <v>56179.884748002747</v>
      </c>
      <c r="DV97" s="33">
        <f t="shared" si="19"/>
        <v>393.25919323601886</v>
      </c>
      <c r="DW97" s="32">
        <f t="shared" si="20"/>
        <v>17174.993337246542</v>
      </c>
      <c r="DX97" s="17">
        <f t="shared" si="87"/>
        <v>0</v>
      </c>
      <c r="DY97" s="17">
        <f t="shared" si="88"/>
        <v>0</v>
      </c>
      <c r="DZ97" s="17">
        <f t="shared" si="21"/>
        <v>0</v>
      </c>
      <c r="EA97" s="17">
        <f t="shared" si="53"/>
        <v>2959.6693948891425</v>
      </c>
      <c r="EB97" s="15">
        <f t="shared" si="54"/>
        <v>14215.3239423574</v>
      </c>
      <c r="EC97" s="15">
        <f>IF(DP97=0,EC96,IF(DO97&lt;=$EK$88+$C$10,ABS(DP97)+EC96,EC96))</f>
        <v>430891.77838569693</v>
      </c>
      <c r="ED97" s="15">
        <f t="shared" si="89"/>
        <v>21525.215704417758</v>
      </c>
      <c r="EE97" s="16">
        <f t="shared" si="90"/>
        <v>858749.66686232702</v>
      </c>
      <c r="EF97" s="15">
        <f t="shared" si="22"/>
        <v>13344.218724469447</v>
      </c>
      <c r="EG97" s="15">
        <f t="shared" si="91"/>
        <v>100737.48184499334</v>
      </c>
      <c r="EH97" s="16"/>
      <c r="EI97" s="16"/>
      <c r="EJ97"/>
      <c r="EK97"/>
      <c r="EL97"/>
      <c r="EM97" s="28">
        <f t="shared" si="92"/>
        <v>2038</v>
      </c>
      <c r="EN97" s="29">
        <f>IF($C$13+$C$10&gt;=EM97,-(AG97),IF(EM97=$C$13+$C$10+1,$FB$93,0))</f>
        <v>0</v>
      </c>
      <c r="EO97" s="30">
        <f t="shared" si="93"/>
        <v>430891.77838569693</v>
      </c>
      <c r="EP97" s="30">
        <f t="shared" si="94"/>
        <v>827889.19479102397</v>
      </c>
      <c r="EQ97" s="30">
        <f t="shared" si="56"/>
        <v>0</v>
      </c>
      <c r="ER97" s="25">
        <f t="shared" si="23"/>
        <v>885841.43842639565</v>
      </c>
      <c r="ES97" s="30">
        <f t="shared" si="95"/>
        <v>57952.243635371677</v>
      </c>
      <c r="ET97" s="26">
        <f t="shared" si="24"/>
        <v>405.66570544760174</v>
      </c>
      <c r="EU97" s="30">
        <f t="shared" si="96"/>
        <v>405.66570544760174</v>
      </c>
      <c r="EV97" s="25">
        <f t="shared" si="25"/>
        <v>0</v>
      </c>
      <c r="EW97" s="31">
        <f t="shared" si="97"/>
        <v>3184.6476202848889</v>
      </c>
      <c r="EX97" s="27">
        <f>IF(EM97=0,EX96,IF(EM97&lt;=$FB$88+$C$10,ABS(EN97)+EX96,EX96))</f>
        <v>430891.77838569693</v>
      </c>
      <c r="EY97" s="15"/>
      <c r="EZ97"/>
      <c r="FA97"/>
      <c r="FB97" s="23"/>
      <c r="FJ97" s="28">
        <f t="shared" si="98"/>
        <v>2038</v>
      </c>
      <c r="FK97" s="65">
        <f>IF($C$13+$C$10&gt;=FJ97,-AG97,IF(FJ97=$C$13+$C$10+1,$EK$93,0))</f>
        <v>0</v>
      </c>
      <c r="FL97" s="65">
        <f t="shared" si="99"/>
        <v>74118.803999999975</v>
      </c>
      <c r="FM97" s="65">
        <f t="shared" si="100"/>
        <v>158349.16138034069</v>
      </c>
      <c r="FN97" s="65">
        <f t="shared" si="59"/>
        <v>0</v>
      </c>
      <c r="FO97" s="65">
        <f t="shared" si="26"/>
        <v>169433.60267696454</v>
      </c>
      <c r="FP97" s="65">
        <f t="shared" si="101"/>
        <v>11084.441296623845</v>
      </c>
      <c r="FQ97" s="59">
        <f t="shared" si="27"/>
        <v>77.591089076366927</v>
      </c>
      <c r="FR97" s="60">
        <f t="shared" si="28"/>
        <v>3388.672053539291</v>
      </c>
      <c r="FS97" s="65">
        <f t="shared" si="102"/>
        <v>0</v>
      </c>
      <c r="FT97" s="65">
        <f t="shared" si="103"/>
        <v>0</v>
      </c>
      <c r="FU97" s="65">
        <f t="shared" si="29"/>
        <v>0</v>
      </c>
      <c r="FV97" s="65">
        <f t="shared" si="61"/>
        <v>414.36982788469157</v>
      </c>
      <c r="FW97" s="61">
        <f t="shared" si="62"/>
        <v>2974.3022256545996</v>
      </c>
      <c r="FX97" s="61">
        <f>IF(AND(FJ97&lt;=$GF$88+$C$10,FV96&lt;=0,FN97&gt;0),(FJ97-$C$10+1)*AG97+$GF$80,FX96)</f>
        <v>73074.599999999977</v>
      </c>
      <c r="FY97" s="62">
        <f t="shared" si="63"/>
        <v>1.9613863139544365</v>
      </c>
      <c r="FZ97" s="63">
        <f t="shared" si="104"/>
        <v>169433.60267696454</v>
      </c>
      <c r="GA97" s="64">
        <f t="shared" si="105"/>
        <v>3231.6155383742998</v>
      </c>
      <c r="GB97" s="64">
        <f t="shared" si="106"/>
        <v>37089.0874061582</v>
      </c>
      <c r="GC97" s="66">
        <f t="shared" si="30"/>
        <v>0</v>
      </c>
      <c r="GD97" s="64">
        <f t="shared" si="107"/>
        <v>1580.6039999999994</v>
      </c>
      <c r="GE97" s="55" t="s">
        <v>39</v>
      </c>
      <c r="GF97" s="54">
        <f>DG62-1</f>
        <v>0</v>
      </c>
      <c r="GI97" s="28">
        <f t="shared" si="108"/>
        <v>2038</v>
      </c>
      <c r="GJ97" s="9">
        <f>IF($GX$88+$C$10&gt;=GI97,-AG97,IF(GI97=$GX$88+$C$10+1,$FB$93,0))</f>
        <v>0</v>
      </c>
      <c r="GK97" s="5">
        <f t="shared" si="109"/>
        <v>390121.27366883494</v>
      </c>
      <c r="GL97" s="5">
        <f t="shared" si="110"/>
        <v>661237.9880013261</v>
      </c>
      <c r="GM97" s="35">
        <f t="shared" si="65"/>
        <v>2790.3359881701458</v>
      </c>
      <c r="GN97" s="4">
        <f t="shared" si="31"/>
        <v>710510.30666876095</v>
      </c>
      <c r="GO97" s="5">
        <f t="shared" si="111"/>
        <v>46481.982679264736</v>
      </c>
      <c r="GP97" s="5">
        <f t="shared" si="32"/>
        <v>325.37387875485314</v>
      </c>
      <c r="GQ97" s="5">
        <f t="shared" si="112"/>
        <v>325.37387875485314</v>
      </c>
      <c r="GR97" s="4">
        <f t="shared" si="33"/>
        <v>60.072152365114754</v>
      </c>
      <c r="GS97" s="7">
        <f t="shared" si="113"/>
        <v>2242.7232309994802</v>
      </c>
      <c r="GT97" s="107" t="e">
        <f>IF($DG$62=0,EX97,IF(GI97-$C$10+1&lt;=$GF$98,0,#REF!-FX97))</f>
        <v>#REF!</v>
      </c>
      <c r="GU97"/>
      <c r="GV97"/>
      <c r="GW97"/>
      <c r="GX97"/>
    </row>
    <row r="98" spans="1:212" s="74" customFormat="1" ht="16.149999999999999" thickBot="1" x14ac:dyDescent="0.55000000000000004">
      <c r="A98" s="75"/>
      <c r="B98" s="331"/>
      <c r="C98" s="282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AB98" s="117" t="str">
        <f t="shared" si="34"/>
        <v/>
      </c>
      <c r="AC98" s="117" t="str">
        <f t="shared" si="35"/>
        <v/>
      </c>
      <c r="AD98" s="299">
        <f>IF($C$20="NEIN",$C$21,IF($C$22="JA",'HISTORISCHE RENDITEN'!E22,'HISTORISCHE RENDITEN'!D22))</f>
        <v>0.11720000000000001</v>
      </c>
      <c r="AE98" s="129">
        <f t="shared" si="116"/>
        <v>46</v>
      </c>
      <c r="AF98" s="120">
        <f t="shared" si="37"/>
        <v>2039</v>
      </c>
      <c r="AG98" s="122">
        <f t="shared" si="0"/>
        <v>0</v>
      </c>
      <c r="AH98" s="124">
        <f t="shared" si="38"/>
        <v>430891.77838569693</v>
      </c>
      <c r="AI98" s="296">
        <f t="shared" si="114"/>
        <v>1332260.458450627</v>
      </c>
      <c r="AJ98" s="123">
        <f t="shared" si="67"/>
        <v>0</v>
      </c>
      <c r="AK98" s="124">
        <f t="shared" si="68"/>
        <v>1488401.3841810406</v>
      </c>
      <c r="AL98" s="122">
        <f t="shared" si="1"/>
        <v>156140.92573041352</v>
      </c>
      <c r="AM98" s="122">
        <f>IF($C$25="Ausschütter",0,IF(AL98&gt;=0,(AI98+AJ98)*$C$48*0.7))</f>
        <v>652.80762464080715</v>
      </c>
      <c r="AN98" s="122">
        <f t="shared" si="2"/>
        <v>0</v>
      </c>
      <c r="AO98" s="122">
        <f t="shared" si="39"/>
        <v>652.80762464080715</v>
      </c>
      <c r="AP98" s="122">
        <f t="shared" si="69"/>
        <v>4254.9967633177985</v>
      </c>
      <c r="AQ98" s="122">
        <f>IF($C$25="AUSSCHÜTTER",0,IF(AO98*$C$46*$C$49&lt;=$C$47,0,AO98*$C$46*$C$49))</f>
        <v>0</v>
      </c>
      <c r="AR98" s="122">
        <f>IF(AO97*$C$49&gt;$C$47,(AN98)*$C$49*$C$46,IF((AO97+AN98)*$C$49&gt;$C$47,((AO97+AN98)*$C$49-$C$47)*$C$46,0))</f>
        <v>0</v>
      </c>
      <c r="AS98" s="122">
        <f t="shared" si="70"/>
        <v>0</v>
      </c>
      <c r="AT98" s="122">
        <f t="shared" si="40"/>
        <v>430891.77838569693</v>
      </c>
      <c r="AU98" s="122">
        <f t="shared" si="115"/>
        <v>0</v>
      </c>
      <c r="AV98" s="122">
        <f t="shared" si="71"/>
        <v>1488401.3841810406</v>
      </c>
      <c r="AW98" s="122">
        <f t="shared" si="41"/>
        <v>0</v>
      </c>
      <c r="AX98" s="130">
        <f t="shared" si="42"/>
        <v>0</v>
      </c>
      <c r="AY98" s="82">
        <f>IF(AF98&lt;$C$11,$C$15*(1+$C$19)^(AF98-$C$10),0)</f>
        <v>0</v>
      </c>
      <c r="AZ98" s="82">
        <f>$C$14*(1+$C$37)^(AF98-$C$10)</f>
        <v>28073.856918717072</v>
      </c>
      <c r="BA98" s="165">
        <f>IF(AF98&lt;$C$11,0,MAX($C$38*AI98,AZ98))</f>
        <v>39967.813753518807</v>
      </c>
      <c r="BB98" s="82">
        <f>IF(AF98&lt;$C$11,0,MAX($C$38*AI98,AZ98))</f>
        <v>39967.813753518807</v>
      </c>
      <c r="BC98" s="136">
        <f>IF($C$39="JA",CT98,DG98)</f>
        <v>10541.510877490584</v>
      </c>
      <c r="BD98" s="82">
        <f t="shared" si="3"/>
        <v>0</v>
      </c>
      <c r="BE98" s="82">
        <f>IF(AF98&lt;($C$8+$C$30),0,$C$29*12*(1-$C$31))</f>
        <v>0</v>
      </c>
      <c r="BF98" s="82">
        <f>IF(AF98&lt;($C$8+$C$34),0,$C$33*12*(1-$C$35))</f>
        <v>0</v>
      </c>
      <c r="BG98" s="82">
        <f>IF(AF98&lt;$C$11,0,IF(AI98&lt;0,$C$42*(1+$C$44)^(AF98-$C$10),IF(((AL98+BE98+BF98)*$C$41)&lt;$C$42*(1+$C$44)^(AF98-$C$10),$C$42*(1+$C$44)^(AF98-$C$10),IF(((AL98+BE98+BF98)*$C$41)&lt;$C$43*(1+$C$44)^(AF98-$C$10),(AL98+BE98+BF98)*$C$41,IF(((AL98+BE98+BF98+BB98)*$C$41)&lt;$C$43*(1+$C$44)^(AF98-$C$10),((AL98+BE98+BF98+BB98)*$C$41),$C$43*(1+$C$44)^(AF98-$C$10))))))</f>
        <v>14119.27886698592</v>
      </c>
      <c r="BH98" s="82">
        <f t="shared" si="72"/>
        <v>64628.603497995311</v>
      </c>
      <c r="BI98" s="242">
        <f t="shared" si="73"/>
        <v>1488401.3841810406</v>
      </c>
      <c r="BJ98" s="217">
        <f t="shared" si="74"/>
        <v>1423772.7806830453</v>
      </c>
      <c r="BK98" s="118"/>
      <c r="BL98" s="219">
        <f t="shared" si="4"/>
        <v>2</v>
      </c>
      <c r="BM98" s="220">
        <f t="shared" si="5"/>
        <v>19</v>
      </c>
      <c r="BN98" s="220">
        <f t="shared" si="6"/>
        <v>0</v>
      </c>
      <c r="BO98" s="221">
        <f t="shared" si="7"/>
        <v>0</v>
      </c>
      <c r="BP98" s="221">
        <f t="shared" si="8"/>
        <v>0</v>
      </c>
      <c r="BQ98" s="222">
        <f t="shared" si="9"/>
        <v>0</v>
      </c>
      <c r="BR98" s="223">
        <f>IF(BM98&lt;$C$11-$C$10+1,0,IF(BL98&lt;=$C$13,VLOOKUP(BL98,$BN$80:$BQ$156,2,FALSE)-BS98,0))</f>
        <v>4820.2403084344041</v>
      </c>
      <c r="BS98" s="223">
        <f>IF(BM98&lt;$C$11-$C$10+1,0,IF(BL98&lt;=$C$13,VLOOKUP(BL98,$BN$80:$BQ$156,3,FALSE),0))</f>
        <v>26440.379802517418</v>
      </c>
      <c r="BT98" s="222">
        <f>IF(BM98&lt;$C$11-$C$10+1,0,IF(BL98&lt;=$C$13,VLOOKUP(BL98,$BN$80:$BQ$156,4,FALSE),0))</f>
        <v>0.18230601619328723</v>
      </c>
      <c r="BU98" s="223">
        <f t="shared" si="43"/>
        <v>0</v>
      </c>
      <c r="BV98" s="223">
        <f t="shared" si="44"/>
        <v>0</v>
      </c>
      <c r="BW98" s="223">
        <f>BU98-BV98</f>
        <v>0</v>
      </c>
      <c r="BX98" s="223">
        <f>IF(AND(BS98&lt;=0,BN98=0),MIN((MAX($BZ$80:$BZ$156)-SUM($BX$80:BX97)),CA98),IF(BS98&lt;CA98,BS98,CA98))</f>
        <v>26440.379802517418</v>
      </c>
      <c r="BY98" s="222">
        <f>IF(BN98&gt;0,0,IF(AND(BN98=0,BT98&lt;=0),100%,((BW97*(AVERAGE($BT$80:BT97))+(BR98*BT98))/(BR98+BW97+BS98+BV97))))</f>
        <v>2.8110728597386798E-2</v>
      </c>
      <c r="BZ98" s="139">
        <f t="shared" si="46"/>
        <v>430891.77838569693</v>
      </c>
      <c r="CA98" s="122">
        <f t="shared" si="10"/>
        <v>39967.813753518807</v>
      </c>
      <c r="CB98" s="181">
        <f t="shared" si="47"/>
        <v>2.8110728597386798E-2</v>
      </c>
      <c r="CC98" s="122">
        <f t="shared" si="48"/>
        <v>75113.20724245708</v>
      </c>
      <c r="CD98" s="182">
        <f t="shared" si="119"/>
        <v>26440.379802517418</v>
      </c>
      <c r="CE98" s="122">
        <f t="shared" si="75"/>
        <v>53016.671632102938</v>
      </c>
      <c r="CF98" s="122">
        <f t="shared" si="76"/>
        <v>377875.10675359401</v>
      </c>
      <c r="CG98" s="122" t="str">
        <f t="shared" si="12"/>
        <v>JA</v>
      </c>
      <c r="CH98" s="140">
        <f t="shared" si="13"/>
        <v>2.8110728597386798E-2</v>
      </c>
      <c r="CI98" s="142">
        <f t="shared" si="77"/>
        <v>9984</v>
      </c>
      <c r="CJ98" s="134">
        <f>CI98*$C$57</f>
        <v>0</v>
      </c>
      <c r="CK98" s="142">
        <f t="shared" si="78"/>
        <v>14926</v>
      </c>
      <c r="CL98" s="134">
        <f>CK98*$C$57</f>
        <v>0</v>
      </c>
      <c r="CM98" s="142">
        <f t="shared" si="79"/>
        <v>58596</v>
      </c>
      <c r="CN98" s="134">
        <f>CM98*$C$57</f>
        <v>0</v>
      </c>
      <c r="CO98" s="132">
        <f t="shared" si="117"/>
        <v>1123.5243650560706</v>
      </c>
      <c r="CP98" s="140">
        <f t="shared" si="14"/>
        <v>0</v>
      </c>
      <c r="CQ98" s="121" t="str">
        <f>IF($C$50="NEIN","NEIN",IF(CS98&lt;CR98,"JA","NEIN"))</f>
        <v>NEIN</v>
      </c>
      <c r="CR98" s="121">
        <f>CO98*$C$46</f>
        <v>296.32955128353859</v>
      </c>
      <c r="CS98" s="121">
        <f t="shared" si="15"/>
        <v>0</v>
      </c>
      <c r="CT98" s="201">
        <f>IF($C$50="NEIN",CR98,IF(CQ98="NEIN",CR98,CS98))</f>
        <v>296.32955128353859</v>
      </c>
      <c r="CU98" s="149"/>
      <c r="CV98" s="202">
        <f t="shared" si="80"/>
        <v>9984</v>
      </c>
      <c r="CW98" s="134">
        <f>CV98*$C$57</f>
        <v>0</v>
      </c>
      <c r="CX98" s="142">
        <f t="shared" si="81"/>
        <v>14926</v>
      </c>
      <c r="CY98" s="134">
        <f>CX98*$C$57</f>
        <v>0</v>
      </c>
      <c r="CZ98" s="142">
        <f t="shared" si="82"/>
        <v>58596</v>
      </c>
      <c r="DA98" s="143">
        <f>CZ98*$C$57</f>
        <v>0</v>
      </c>
      <c r="DB98" s="165">
        <f t="shared" si="120"/>
        <v>39967.813753518807</v>
      </c>
      <c r="DC98" s="140">
        <f t="shared" si="50"/>
        <v>0.34321791792153389</v>
      </c>
      <c r="DD98" s="121" t="str">
        <f>IF($C$50="NEIN","NEIN",IF(DF98&lt;DE98,"JA","NEIN"))</f>
        <v>NEIN</v>
      </c>
      <c r="DE98" s="121">
        <f>DB98*$C$46</f>
        <v>10541.510877490584</v>
      </c>
      <c r="DF98" s="121">
        <f t="shared" si="17"/>
        <v>8235.2696724893431</v>
      </c>
      <c r="DG98" s="201">
        <f>IF($C$50="NEIN",DE98,IF(DD98="NEIN",DE98,DF98))</f>
        <v>10541.510877490584</v>
      </c>
      <c r="DH98" s="159"/>
      <c r="DK98" s="128"/>
      <c r="DL98" s="128"/>
      <c r="DM98" s="128"/>
      <c r="DO98" s="28">
        <f t="shared" si="83"/>
        <v>2039</v>
      </c>
      <c r="DP98" s="17">
        <f>IF($C$13+$C$10&gt;=DO98,-AG98,IF(DO98=$C$13+$C$10+1,$EK$93,0))</f>
        <v>749933.8474602144</v>
      </c>
      <c r="DQ98" s="17">
        <f t="shared" si="84"/>
        <v>545844.58417304757</v>
      </c>
      <c r="DR98" s="17">
        <f t="shared" si="85"/>
        <v>841574.67352508043</v>
      </c>
      <c r="DS98" s="17">
        <f t="shared" si="51"/>
        <v>14215.3239423574</v>
      </c>
      <c r="DT98" s="17">
        <f t="shared" si="18"/>
        <v>915695.29729015857</v>
      </c>
      <c r="DU98" s="17">
        <f t="shared" si="86"/>
        <v>59905.299822720699</v>
      </c>
      <c r="DV98" s="33">
        <f t="shared" si="19"/>
        <v>419.33709875904458</v>
      </c>
      <c r="DW98" s="32">
        <f t="shared" si="20"/>
        <v>18313.905945803173</v>
      </c>
      <c r="DX98" s="17">
        <f t="shared" si="87"/>
        <v>0</v>
      </c>
      <c r="DY98" s="17">
        <f t="shared" si="88"/>
        <v>0</v>
      </c>
      <c r="DZ98" s="17">
        <f t="shared" si="21"/>
        <v>0</v>
      </c>
      <c r="EA98" s="17">
        <f t="shared" si="53"/>
        <v>3169.9411352439106</v>
      </c>
      <c r="EB98" s="15">
        <f t="shared" si="54"/>
        <v>15143.964810559262</v>
      </c>
      <c r="EC98" s="15">
        <f>IF(DP98=0,EC97,IF(DO98&lt;=$EK$88+$C$10,ABS(DP98)+EC97,EC97))</f>
        <v>430891.77838569693</v>
      </c>
      <c r="ED98" s="15">
        <f t="shared" si="89"/>
        <v>24695.156839661668</v>
      </c>
      <c r="EE98" s="16">
        <f t="shared" si="90"/>
        <v>915695.29729015857</v>
      </c>
      <c r="EF98" s="15">
        <f t="shared" si="22"/>
        <v>14215.3239423574</v>
      </c>
      <c r="EG98" s="15">
        <f t="shared" si="91"/>
        <v>114952.80578735074</v>
      </c>
      <c r="EH98" s="16"/>
      <c r="EI98" s="16"/>
      <c r="EJ98"/>
      <c r="EK98" s="10"/>
      <c r="EL98" s="10"/>
      <c r="EM98" s="28">
        <f t="shared" si="92"/>
        <v>2039</v>
      </c>
      <c r="EN98" s="29">
        <f>IF($C$13+$C$10&gt;=EM98,-(AG98),IF(EM98=$C$13+$C$10+1,$FB$93,0))</f>
        <v>755254.50094821735</v>
      </c>
      <c r="EO98" s="30">
        <f t="shared" si="93"/>
        <v>430891.77838569693</v>
      </c>
      <c r="EP98" s="30">
        <f t="shared" si="94"/>
        <v>885841.43842639565</v>
      </c>
      <c r="EQ98" s="30">
        <f t="shared" si="56"/>
        <v>0</v>
      </c>
      <c r="ER98" s="25">
        <f t="shared" si="23"/>
        <v>947850.33911624341</v>
      </c>
      <c r="ES98" s="30">
        <f t="shared" si="95"/>
        <v>62008.900689847767</v>
      </c>
      <c r="ET98" s="26">
        <f t="shared" si="24"/>
        <v>434.0623048289338</v>
      </c>
      <c r="EU98" s="30">
        <f t="shared" si="96"/>
        <v>434.0623048289338</v>
      </c>
      <c r="EV98" s="25">
        <f t="shared" si="25"/>
        <v>0</v>
      </c>
      <c r="EW98" s="31">
        <f t="shared" si="97"/>
        <v>3618.7099251138229</v>
      </c>
      <c r="EX98" s="27">
        <f>IF(EM98=0,EX97,IF(EM98&lt;=$FB$88+$C$10,ABS(EN98)+EX97,EX97))</f>
        <v>430891.77838569693</v>
      </c>
      <c r="EY98" s="15"/>
      <c r="EZ98"/>
      <c r="FA98"/>
      <c r="FB98" s="10"/>
      <c r="FJ98" s="28">
        <f t="shared" si="98"/>
        <v>2039</v>
      </c>
      <c r="FK98" s="65">
        <f>IF($C$13+$C$10&gt;=FJ98,-AG98,IF(FJ98=$C$13+$C$10+1,$EK$93,0))</f>
        <v>749933.8474602144</v>
      </c>
      <c r="FL98" s="65">
        <f t="shared" si="99"/>
        <v>74118.803999999975</v>
      </c>
      <c r="FM98" s="65">
        <f t="shared" si="100"/>
        <v>166044.93062342526</v>
      </c>
      <c r="FN98" s="65">
        <f t="shared" si="59"/>
        <v>0</v>
      </c>
      <c r="FO98" s="65">
        <f t="shared" si="26"/>
        <v>177668.07576706505</v>
      </c>
      <c r="FP98" s="65">
        <f t="shared" si="101"/>
        <v>11623.145143639791</v>
      </c>
      <c r="FQ98" s="59">
        <f t="shared" si="27"/>
        <v>81.362016005478367</v>
      </c>
      <c r="FR98" s="60">
        <f t="shared" si="28"/>
        <v>3553.3615153413011</v>
      </c>
      <c r="FS98" s="65">
        <f t="shared" si="102"/>
        <v>0</v>
      </c>
      <c r="FT98" s="65">
        <f t="shared" si="103"/>
        <v>0</v>
      </c>
      <c r="FU98" s="65">
        <f t="shared" si="29"/>
        <v>0</v>
      </c>
      <c r="FV98" s="65">
        <f t="shared" si="61"/>
        <v>444.77561976988767</v>
      </c>
      <c r="FW98" s="61">
        <f t="shared" si="62"/>
        <v>3108.5858955714134</v>
      </c>
      <c r="FX98" s="61">
        <f>IF(AND(FJ98&lt;=$GF$88+$C$10,FV97&lt;=0,FN98&gt;0),(FJ98-$C$10+1)*AG98+$GF$80,FX97)</f>
        <v>73074.599999999977</v>
      </c>
      <c r="FY98" s="62">
        <f t="shared" si="63"/>
        <v>2.1053096888126226</v>
      </c>
      <c r="FZ98" s="63">
        <f t="shared" si="104"/>
        <v>177668.07576706505</v>
      </c>
      <c r="GA98" s="64">
        <f t="shared" si="105"/>
        <v>3388.672053539291</v>
      </c>
      <c r="GB98" s="64">
        <f t="shared" si="106"/>
        <v>40477.759459697489</v>
      </c>
      <c r="GC98" s="66">
        <f t="shared" si="30"/>
        <v>0</v>
      </c>
      <c r="GD98" s="64">
        <f t="shared" si="107"/>
        <v>1580.6039999999994</v>
      </c>
      <c r="GE98" s="67" t="s">
        <v>41</v>
      </c>
      <c r="GF98" s="68">
        <f>(GF94-GF80)/GF81</f>
        <v>3.0447749999999991</v>
      </c>
      <c r="GI98" s="28">
        <f t="shared" si="108"/>
        <v>2039</v>
      </c>
      <c r="GJ98" s="9">
        <f>IF($GX$88+$C$10&gt;=GI98,-AG98,IF(GI98=$GX$88+$C$10+1,$FB$93,0))</f>
        <v>755254.50094821735</v>
      </c>
      <c r="GK98" s="5">
        <f t="shared" si="109"/>
        <v>393035.50374212442</v>
      </c>
      <c r="GL98" s="5">
        <f t="shared" si="110"/>
        <v>710510.30666876095</v>
      </c>
      <c r="GM98" s="35">
        <f t="shared" si="65"/>
        <v>2914.2300732894851</v>
      </c>
      <c r="GN98" s="4">
        <f t="shared" si="31"/>
        <v>763364.25431399397</v>
      </c>
      <c r="GO98" s="5">
        <f t="shared" si="111"/>
        <v>49939.717571943533</v>
      </c>
      <c r="GP98" s="5">
        <f t="shared" si="32"/>
        <v>349.5780230036047</v>
      </c>
      <c r="GQ98" s="5">
        <f t="shared" si="112"/>
        <v>349.5780230036047</v>
      </c>
      <c r="GR98" s="4">
        <f t="shared" si="33"/>
        <v>64.540842497040501</v>
      </c>
      <c r="GS98" s="7">
        <f t="shared" si="113"/>
        <v>2592.301254003085</v>
      </c>
      <c r="GT98" s="107" t="e">
        <f>IF($DG$62=0,EX98,IF(GI98-$C$10+1&lt;=$GF$98,0,#REF!-FX98))</f>
        <v>#REF!</v>
      </c>
      <c r="GU98"/>
      <c r="GV98"/>
      <c r="GW98"/>
      <c r="GX98"/>
    </row>
    <row r="99" spans="1:212" s="74" customFormat="1" ht="16.149999999999999" thickBot="1" x14ac:dyDescent="0.55000000000000004">
      <c r="A99" s="75"/>
      <c r="B99" s="331"/>
      <c r="C99" s="282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AB99" s="117" t="str">
        <f t="shared" si="34"/>
        <v/>
      </c>
      <c r="AC99" s="117" t="str">
        <f t="shared" si="35"/>
        <v/>
      </c>
      <c r="AD99" s="299">
        <f>IF($C$20="NEIN",$C$21,IF($C$22="JA",'HISTORISCHE RENDITEN'!E23,'HISTORISCHE RENDITEN'!D23))</f>
        <v>0.14169999999999999</v>
      </c>
      <c r="AE99" s="129">
        <f t="shared" si="116"/>
        <v>47</v>
      </c>
      <c r="AF99" s="120">
        <f t="shared" si="37"/>
        <v>2040</v>
      </c>
      <c r="AG99" s="122">
        <f t="shared" si="0"/>
        <v>0</v>
      </c>
      <c r="AH99" s="124">
        <f t="shared" si="38"/>
        <v>430891.77838569693</v>
      </c>
      <c r="AI99" s="296">
        <f t="shared" si="114"/>
        <v>1423772.7806830453</v>
      </c>
      <c r="AJ99" s="123">
        <f t="shared" si="67"/>
        <v>0</v>
      </c>
      <c r="AK99" s="124">
        <f t="shared" si="68"/>
        <v>1625521.3837058328</v>
      </c>
      <c r="AL99" s="122">
        <f t="shared" si="1"/>
        <v>201748.60302278749</v>
      </c>
      <c r="AM99" s="122">
        <f>IF($C$25="Ausschütter",0,IF(AL99&gt;=0,(AI99+AJ99)*$C$48*0.7))</f>
        <v>697.64866253469211</v>
      </c>
      <c r="AN99" s="122">
        <f t="shared" si="2"/>
        <v>0</v>
      </c>
      <c r="AO99" s="122">
        <f t="shared" si="39"/>
        <v>697.64866253469211</v>
      </c>
      <c r="AP99" s="122">
        <f t="shared" si="69"/>
        <v>4952.6454258524909</v>
      </c>
      <c r="AQ99" s="122">
        <f>IF($C$25="AUSSCHÜTTER",0,IF(AO99*$C$46*$C$49&lt;=$C$47,0,AO99*$C$46*$C$49))</f>
        <v>0</v>
      </c>
      <c r="AR99" s="122">
        <f>IF(AO98*$C$49&gt;$C$47,(AN99)*$C$49*$C$46,IF((AO98+AN99)*$C$49&gt;$C$47,((AO98+AN99)*$C$49-$C$47)*$C$46,0))</f>
        <v>0</v>
      </c>
      <c r="AS99" s="122">
        <f t="shared" si="70"/>
        <v>0</v>
      </c>
      <c r="AT99" s="122">
        <f t="shared" si="40"/>
        <v>430891.77838569693</v>
      </c>
      <c r="AU99" s="122">
        <f t="shared" si="115"/>
        <v>0</v>
      </c>
      <c r="AV99" s="122">
        <f t="shared" si="71"/>
        <v>1625521.3837058328</v>
      </c>
      <c r="AW99" s="122">
        <f t="shared" si="41"/>
        <v>0</v>
      </c>
      <c r="AX99" s="130">
        <f t="shared" si="42"/>
        <v>0</v>
      </c>
      <c r="AY99" s="82">
        <f>IF(AF99&lt;$C$11,$C$15*(1+$C$19)^(AF99-$C$10),0)</f>
        <v>0</v>
      </c>
      <c r="AZ99" s="82">
        <f>$C$14*(1+$C$37)^(AF99-$C$10)</f>
        <v>28775.703341684999</v>
      </c>
      <c r="BA99" s="165">
        <f>IF(AF99&lt;$C$11,0,MAX($C$38*AI99,AZ99))</f>
        <v>42713.183420491354</v>
      </c>
      <c r="BB99" s="82">
        <f>IF(AF99&lt;$C$11,0,MAX($C$38*AI99,AZ99))</f>
        <v>42713.183420491354</v>
      </c>
      <c r="BC99" s="136">
        <f>IF($C$39="JA",CT99,DG99)</f>
        <v>11265.602127154594</v>
      </c>
      <c r="BD99" s="82">
        <f t="shared" si="3"/>
        <v>0</v>
      </c>
      <c r="BE99" s="82">
        <f>IF(AF99&lt;($C$8+$C$30),0,$C$29*12*(1-$C$31))</f>
        <v>0</v>
      </c>
      <c r="BF99" s="82">
        <f>IF(AF99&lt;($C$8+$C$34),0,$C$33*12*(1-$C$35))</f>
        <v>0</v>
      </c>
      <c r="BG99" s="82">
        <f>IF(AF99&lt;$C$11,0,IF(AI99&lt;0,$C$42*(1+$C$44)^(AF99-$C$10),IF(((AL99+BE99+BF99)*$C$41)&lt;$C$42*(1+$C$44)^(AF99-$C$10),$C$42*(1+$C$44)^(AF99-$C$10),IF(((AL99+BE99+BF99)*$C$41)&lt;$C$43*(1+$C$44)^(AF99-$C$10),(AL99+BE99+BF99)*$C$41,IF(((AL99+BE99+BF99+BB99)*$C$41)&lt;$C$43*(1+$C$44)^(AF99-$C$10),((AL99+BE99+BF99+BB99)*$C$41),$C$43*(1+$C$44)^(AF99-$C$10))))))</f>
        <v>14331.068049990708</v>
      </c>
      <c r="BH99" s="82">
        <f t="shared" si="72"/>
        <v>68309.853597636655</v>
      </c>
      <c r="BI99" s="242">
        <f t="shared" si="73"/>
        <v>1625521.3837058328</v>
      </c>
      <c r="BJ99" s="217">
        <f t="shared" si="74"/>
        <v>1557211.5301081962</v>
      </c>
      <c r="BK99" s="118"/>
      <c r="BL99" s="219">
        <f t="shared" si="4"/>
        <v>3</v>
      </c>
      <c r="BM99" s="220">
        <f t="shared" si="5"/>
        <v>20</v>
      </c>
      <c r="BN99" s="220">
        <f t="shared" si="6"/>
        <v>0</v>
      </c>
      <c r="BO99" s="221">
        <f t="shared" si="7"/>
        <v>0</v>
      </c>
      <c r="BP99" s="221">
        <f t="shared" si="8"/>
        <v>0</v>
      </c>
      <c r="BQ99" s="222">
        <f t="shared" si="9"/>
        <v>0</v>
      </c>
      <c r="BR99" s="223">
        <f>IF(BM99&lt;$C$11-$C$10+1,0,IF(BL99&lt;=$C$13,VLOOKUP(BL99,$BN$80:$BQ$156,2,FALSE)-BS99,0))</f>
        <v>7510.4830108529932</v>
      </c>
      <c r="BS99" s="223">
        <f>IF(BM99&lt;$C$11-$C$10+1,0,IF(BL99&lt;=$C$13,VLOOKUP(BL99,$BN$80:$BQ$156,3,FALSE),0))</f>
        <v>26300.211911618433</v>
      </c>
      <c r="BT99" s="222">
        <f>IF(BM99&lt;$C$11-$C$10+1,0,IF(BL99&lt;=$C$13,VLOOKUP(BL99,$BN$80:$BQ$156,4,FALSE),0))</f>
        <v>0.28556739527772201</v>
      </c>
      <c r="BU99" s="223">
        <f t="shared" si="43"/>
        <v>0</v>
      </c>
      <c r="BV99" s="223">
        <f t="shared" si="44"/>
        <v>0</v>
      </c>
      <c r="BW99" s="223">
        <f t="shared" si="118"/>
        <v>0</v>
      </c>
      <c r="BX99" s="223">
        <f>IF(AND(BS99&lt;=0,BN99=0),MIN((MAX($BZ$80:$BZ$156)-SUM($BX$80:BX98)),CA99),IF(BS99&lt;CA99,BS99,CA99))</f>
        <v>26300.211911618433</v>
      </c>
      <c r="BY99" s="222">
        <f>IF(BN99&gt;0,0,IF(AND(BN99=0,BT99&lt;=0),100%,((BW98*(AVERAGE($BT$80:BT98))+(BR99*BT99))/(BR99+BW98+BS99+BV98))))</f>
        <v>6.3434042855517264E-2</v>
      </c>
      <c r="BZ99" s="139">
        <f t="shared" si="46"/>
        <v>430891.77838569693</v>
      </c>
      <c r="CA99" s="122">
        <f t="shared" si="10"/>
        <v>42713.183420491354</v>
      </c>
      <c r="CB99" s="181">
        <f t="shared" si="47"/>
        <v>6.3434042855517264E-2</v>
      </c>
      <c r="CC99" s="122">
        <f t="shared" si="48"/>
        <v>117826.39066294843</v>
      </c>
      <c r="CD99" s="182">
        <f t="shared" si="119"/>
        <v>26300.211911618433</v>
      </c>
      <c r="CE99" s="122">
        <f t="shared" si="75"/>
        <v>79316.883543721371</v>
      </c>
      <c r="CF99" s="122">
        <f t="shared" si="76"/>
        <v>351574.89484197553</v>
      </c>
      <c r="CG99" s="182" t="str">
        <f t="shared" si="12"/>
        <v>JA</v>
      </c>
      <c r="CH99" s="183">
        <f t="shared" si="13"/>
        <v>6.3434042855517264E-2</v>
      </c>
      <c r="CI99" s="142">
        <f t="shared" si="77"/>
        <v>9984</v>
      </c>
      <c r="CJ99" s="134">
        <f>CI99*$C$57</f>
        <v>0</v>
      </c>
      <c r="CK99" s="142">
        <f t="shared" si="78"/>
        <v>14926</v>
      </c>
      <c r="CL99" s="134">
        <f>CK99*$C$57</f>
        <v>0</v>
      </c>
      <c r="CM99" s="142">
        <f t="shared" si="79"/>
        <v>58596</v>
      </c>
      <c r="CN99" s="134">
        <f>CM99*$C$57</f>
        <v>0</v>
      </c>
      <c r="CO99" s="132">
        <f t="shared" si="117"/>
        <v>2709.469907591018</v>
      </c>
      <c r="CP99" s="140">
        <f t="shared" si="14"/>
        <v>0</v>
      </c>
      <c r="CQ99" s="121" t="str">
        <f>IF($C$50="NEIN","NEIN",IF(CS99&lt;CR99,"JA","NEIN"))</f>
        <v>NEIN</v>
      </c>
      <c r="CR99" s="121">
        <f>CO99*$C$46</f>
        <v>714.62268812713091</v>
      </c>
      <c r="CS99" s="121">
        <f t="shared" si="15"/>
        <v>0</v>
      </c>
      <c r="CT99" s="201">
        <f>IF($C$50="NEIN",CR99,IF(CQ99="NEIN",CR99,CS99))</f>
        <v>714.62268812713091</v>
      </c>
      <c r="CU99" s="149"/>
      <c r="CV99" s="202">
        <f t="shared" si="80"/>
        <v>9984</v>
      </c>
      <c r="CW99" s="134">
        <f>CV99*$C$57</f>
        <v>0</v>
      </c>
      <c r="CX99" s="142">
        <f t="shared" si="81"/>
        <v>14926</v>
      </c>
      <c r="CY99" s="134">
        <f>CX99*$C$57</f>
        <v>0</v>
      </c>
      <c r="CZ99" s="142">
        <f t="shared" si="82"/>
        <v>58596</v>
      </c>
      <c r="DA99" s="143">
        <f>CZ99*$C$57</f>
        <v>0</v>
      </c>
      <c r="DB99" s="165">
        <f t="shared" si="120"/>
        <v>42713.183420491354</v>
      </c>
      <c r="DC99" s="140">
        <f t="shared" si="50"/>
        <v>0.35453384510392588</v>
      </c>
      <c r="DD99" s="121" t="str">
        <f>IF($C$50="NEIN","NEIN",IF(DF99&lt;DE99,"JA","NEIN"))</f>
        <v>NEIN</v>
      </c>
      <c r="DE99" s="121">
        <f>DB99*$C$46</f>
        <v>11265.602127154594</v>
      </c>
      <c r="DF99" s="121">
        <f t="shared" si="17"/>
        <v>9192.7307930449861</v>
      </c>
      <c r="DG99" s="201">
        <f>IF($C$50="NEIN",DE99,IF(DD99="NEIN",DE99,DF99))</f>
        <v>11265.602127154594</v>
      </c>
      <c r="DH99" s="159"/>
      <c r="DK99" s="128"/>
      <c r="DL99" s="128"/>
      <c r="DM99" s="128"/>
      <c r="DO99" s="28">
        <f t="shared" si="83"/>
        <v>2040</v>
      </c>
      <c r="DP99" s="17">
        <f>IF($C$13+$C$10&gt;=DO99,-AG99,IF(DO99=$C$13+$C$10+1,$EK$93,0))</f>
        <v>0</v>
      </c>
      <c r="DQ99" s="17">
        <f t="shared" si="84"/>
        <v>560988.54898360686</v>
      </c>
      <c r="DR99" s="17">
        <f t="shared" si="85"/>
        <v>897381.39134435542</v>
      </c>
      <c r="DS99" s="17">
        <f t="shared" si="51"/>
        <v>15143.964810559262</v>
      </c>
      <c r="DT99" s="17">
        <f t="shared" si="18"/>
        <v>976402.1310857588</v>
      </c>
      <c r="DU99" s="17">
        <f t="shared" si="86"/>
        <v>63876.774930844083</v>
      </c>
      <c r="DV99" s="33">
        <f t="shared" si="19"/>
        <v>447.13742451590821</v>
      </c>
      <c r="DW99" s="32">
        <f t="shared" si="20"/>
        <v>19528.042621715176</v>
      </c>
      <c r="DX99" s="17">
        <f t="shared" si="87"/>
        <v>0</v>
      </c>
      <c r="DY99" s="17">
        <f t="shared" si="88"/>
        <v>0</v>
      </c>
      <c r="DZ99" s="17">
        <f t="shared" si="21"/>
        <v>0</v>
      </c>
      <c r="EA99" s="17">
        <f t="shared" si="53"/>
        <v>3394.1011190341642</v>
      </c>
      <c r="EB99" s="15">
        <f t="shared" si="54"/>
        <v>16133.941502681013</v>
      </c>
      <c r="EC99" s="15">
        <f>IF(DP99=0,EC98,IF(DO99&lt;=$EK$88+$C$10,ABS(DP99)+EC98,EC98))</f>
        <v>430891.77838569693</v>
      </c>
      <c r="ED99" s="15">
        <f t="shared" si="89"/>
        <v>28089.257958695831</v>
      </c>
      <c r="EE99" s="16">
        <f t="shared" si="90"/>
        <v>976402.1310857588</v>
      </c>
      <c r="EF99" s="15">
        <f t="shared" si="22"/>
        <v>15143.964810559262</v>
      </c>
      <c r="EG99" s="15">
        <f t="shared" si="91"/>
        <v>130096.77059791</v>
      </c>
      <c r="EH99" s="16"/>
      <c r="EI99" s="16"/>
      <c r="EJ99" s="11"/>
      <c r="EK99" s="11"/>
      <c r="EL99" s="11"/>
      <c r="EM99" s="28">
        <f t="shared" si="92"/>
        <v>2040</v>
      </c>
      <c r="EN99" s="29">
        <f>IF($C$13+$C$10&gt;=EM99,-(AG99),IF(EM99=$C$13+$C$10+1,$FB$93,0))</f>
        <v>0</v>
      </c>
      <c r="EO99" s="30">
        <f t="shared" si="93"/>
        <v>430891.77838569693</v>
      </c>
      <c r="EP99" s="30">
        <f t="shared" si="94"/>
        <v>947850.33911624341</v>
      </c>
      <c r="EQ99" s="30">
        <f t="shared" si="56"/>
        <v>0</v>
      </c>
      <c r="ER99" s="25">
        <f t="shared" si="23"/>
        <v>1014199.8628543805</v>
      </c>
      <c r="ES99" s="30">
        <f t="shared" si="95"/>
        <v>66349.523738137097</v>
      </c>
      <c r="ET99" s="26">
        <f t="shared" si="24"/>
        <v>464.44666616695929</v>
      </c>
      <c r="EU99" s="30">
        <f t="shared" si="96"/>
        <v>464.44666616695929</v>
      </c>
      <c r="EV99" s="25">
        <f t="shared" si="25"/>
        <v>0</v>
      </c>
      <c r="EW99" s="31">
        <f t="shared" si="97"/>
        <v>4083.1565912807823</v>
      </c>
      <c r="EX99" s="27">
        <f>IF(EM99=0,EX98,IF(EM99&lt;=$FB$88+$C$10,ABS(EN99)+EX98,EX98))</f>
        <v>430891.77838569693</v>
      </c>
      <c r="EY99" s="15"/>
      <c r="EZ99"/>
      <c r="FA99" s="11"/>
      <c r="FB99" s="11"/>
      <c r="FJ99" s="28">
        <f t="shared" si="98"/>
        <v>2040</v>
      </c>
      <c r="FK99" s="65">
        <f>IF($C$13+$C$10&gt;=FJ99,-AG99,IF(FJ99=$C$13+$C$10+1,$EK$93,0))</f>
        <v>0</v>
      </c>
      <c r="FL99" s="65">
        <f t="shared" si="99"/>
        <v>74118.803999999975</v>
      </c>
      <c r="FM99" s="65">
        <f t="shared" si="100"/>
        <v>174114.71425172375</v>
      </c>
      <c r="FN99" s="65">
        <f t="shared" si="59"/>
        <v>0</v>
      </c>
      <c r="FO99" s="65">
        <f t="shared" si="26"/>
        <v>186302.74424934443</v>
      </c>
      <c r="FP99" s="65">
        <f t="shared" si="101"/>
        <v>12188.029997620673</v>
      </c>
      <c r="FQ99" s="59">
        <f t="shared" si="27"/>
        <v>85.316209983344635</v>
      </c>
      <c r="FR99" s="60">
        <f t="shared" si="28"/>
        <v>3726.0548849868887</v>
      </c>
      <c r="FS99" s="65">
        <f t="shared" si="102"/>
        <v>0</v>
      </c>
      <c r="FT99" s="65">
        <f t="shared" si="103"/>
        <v>0</v>
      </c>
      <c r="FU99" s="65">
        <f t="shared" si="29"/>
        <v>0</v>
      </c>
      <c r="FV99" s="65">
        <f t="shared" si="61"/>
        <v>476.65913314070423</v>
      </c>
      <c r="FW99" s="61">
        <f t="shared" si="62"/>
        <v>3249.3957518461843</v>
      </c>
      <c r="FX99" s="61">
        <f>IF(AND(FJ99&lt;=$GF$88+$C$10,FV98&lt;=0,FN99&gt;0),(FJ99-$C$10+1)*AG99+$GF$80,FX98)</f>
        <v>73074.599999999977</v>
      </c>
      <c r="FY99" s="62">
        <f t="shared" si="63"/>
        <v>2.2562277396889163</v>
      </c>
      <c r="FZ99" s="63">
        <f t="shared" si="104"/>
        <v>186302.74424934443</v>
      </c>
      <c r="GA99" s="64">
        <f t="shared" si="105"/>
        <v>3553.3615153413011</v>
      </c>
      <c r="GB99" s="64">
        <f t="shared" si="106"/>
        <v>44031.120975038793</v>
      </c>
      <c r="GC99" s="66">
        <f t="shared" si="30"/>
        <v>0</v>
      </c>
      <c r="GD99" s="64">
        <f t="shared" si="107"/>
        <v>1580.6039999999994</v>
      </c>
      <c r="GE99" s="57" t="s">
        <v>47</v>
      </c>
      <c r="GF99" s="48">
        <f>VLOOKUP(GF88+C10-1,FJ80:GB179,19,FALSE)-GF96</f>
        <v>32276.867867783898</v>
      </c>
      <c r="GI99" s="28">
        <f t="shared" si="108"/>
        <v>2040</v>
      </c>
      <c r="GJ99" s="9">
        <f>IF($GX$88+$C$10&gt;=GI99,-AG99,IF(GI99=$GX$88+$C$10+1,$FB$93,0))</f>
        <v>0</v>
      </c>
      <c r="GK99" s="5">
        <f t="shared" si="109"/>
        <v>396079.54879519879</v>
      </c>
      <c r="GL99" s="5">
        <f t="shared" si="110"/>
        <v>763364.25431399397</v>
      </c>
      <c r="GM99" s="35">
        <f t="shared" si="65"/>
        <v>3044.0450530743728</v>
      </c>
      <c r="GN99" s="4">
        <f t="shared" si="31"/>
        <v>820056.88032276311</v>
      </c>
      <c r="GO99" s="5">
        <f t="shared" si="111"/>
        <v>53648.580955694779</v>
      </c>
      <c r="GP99" s="5">
        <f t="shared" si="32"/>
        <v>375.54006668986347</v>
      </c>
      <c r="GQ99" s="5">
        <f t="shared" si="112"/>
        <v>375.54006668986347</v>
      </c>
      <c r="GR99" s="4">
        <f t="shared" si="33"/>
        <v>69.334084812616041</v>
      </c>
      <c r="GS99" s="7">
        <f t="shared" si="113"/>
        <v>2967.8413206929486</v>
      </c>
      <c r="GT99" s="107" t="e">
        <f>IF($DG$62=0,EX99,IF(GI99-$C$10+1&lt;=$GF$98,0,#REF!-FX99))</f>
        <v>#REF!</v>
      </c>
      <c r="GU99"/>
      <c r="GV99"/>
      <c r="GW99"/>
      <c r="GX99"/>
    </row>
    <row r="100" spans="1:212" ht="16.149999999999999" thickBot="1" x14ac:dyDescent="0.55000000000000004">
      <c r="AB100" s="117" t="str">
        <f t="shared" si="34"/>
        <v/>
      </c>
      <c r="AC100" s="117" t="str">
        <f t="shared" si="35"/>
        <v/>
      </c>
      <c r="AD100" s="299">
        <f>IF($C$20="NEIN",$C$21,IF($C$22="JA",'HISTORISCHE RENDITEN'!E24,'HISTORISCHE RENDITEN'!D24))</f>
        <v>0.2278</v>
      </c>
      <c r="AE100" s="129">
        <f t="shared" si="116"/>
        <v>48</v>
      </c>
      <c r="AF100" s="120">
        <f t="shared" si="37"/>
        <v>2041</v>
      </c>
      <c r="AG100" s="122">
        <f t="shared" si="0"/>
        <v>0</v>
      </c>
      <c r="AH100" s="124">
        <f t="shared" si="38"/>
        <v>430891.77838569693</v>
      </c>
      <c r="AI100" s="296">
        <f t="shared" si="114"/>
        <v>1557211.5301081962</v>
      </c>
      <c r="AJ100" s="123">
        <f t="shared" si="67"/>
        <v>0</v>
      </c>
      <c r="AK100" s="124">
        <f t="shared" si="68"/>
        <v>1911944.3166668434</v>
      </c>
      <c r="AL100" s="122">
        <f t="shared" si="1"/>
        <v>354732.78655864717</v>
      </c>
      <c r="AM100" s="122">
        <f>IF($C$25="Ausschütter",0,IF(AL100&gt;=0,(AI100+AJ100)*$C$48*0.7))</f>
        <v>763.03364975301611</v>
      </c>
      <c r="AN100" s="122">
        <f t="shared" si="2"/>
        <v>0</v>
      </c>
      <c r="AO100" s="122">
        <f t="shared" si="39"/>
        <v>763.03364975301611</v>
      </c>
      <c r="AP100" s="122">
        <f t="shared" si="69"/>
        <v>5715.679075605507</v>
      </c>
      <c r="AQ100" s="122">
        <f>IF($C$25="AUSSCHÜTTER",0,IF(AO100*$C$46*$C$49&lt;=$C$47,0,AO100*$C$46*$C$49))</f>
        <v>0</v>
      </c>
      <c r="AR100" s="122">
        <f>IF(AO99*$C$49&gt;$C$47,(AN100)*$C$49*$C$46,IF((AO99+AN100)*$C$49&gt;$C$47,((AO99+AN100)*$C$49-$C$47)*$C$46,0))</f>
        <v>0</v>
      </c>
      <c r="AS100" s="122">
        <f t="shared" si="70"/>
        <v>0</v>
      </c>
      <c r="AT100" s="122">
        <f t="shared" si="40"/>
        <v>430891.77838569693</v>
      </c>
      <c r="AU100" s="122">
        <f t="shared" si="115"/>
        <v>0</v>
      </c>
      <c r="AV100" s="122">
        <f t="shared" si="71"/>
        <v>1911944.3166668434</v>
      </c>
      <c r="AW100" s="122">
        <f t="shared" si="41"/>
        <v>0</v>
      </c>
      <c r="AX100" s="130">
        <f t="shared" si="42"/>
        <v>0</v>
      </c>
      <c r="AY100" s="82">
        <f>IF(AF100&lt;$C$11,$C$15*(1+$C$19)^(AF100-$C$10),0)</f>
        <v>0</v>
      </c>
      <c r="AZ100" s="82">
        <f>$C$14*(1+$C$37)^(AF100-$C$10)</f>
        <v>29495.09592522712</v>
      </c>
      <c r="BA100" s="165">
        <f>IF(AF100&lt;$C$11,0,MAX($C$38*AI100,AZ100))</f>
        <v>46716.345903245885</v>
      </c>
      <c r="BB100" s="82">
        <f>IF(AF100&lt;$C$11,0,MAX($C$38*AI100,AZ100))</f>
        <v>46716.345903245885</v>
      </c>
      <c r="BC100" s="136">
        <f>IF($C$39="JA",CT100,DG100)</f>
        <v>12321.436231981101</v>
      </c>
      <c r="BD100" s="82">
        <f t="shared" si="3"/>
        <v>0</v>
      </c>
      <c r="BE100" s="82">
        <f>IF(AF100&lt;($C$8+$C$30),0,$C$29*12*(1-$C$31))</f>
        <v>0</v>
      </c>
      <c r="BF100" s="82">
        <f>IF(AF100&lt;($C$8+$C$34),0,$C$33*12*(1-$C$35))</f>
        <v>0</v>
      </c>
      <c r="BG100" s="82">
        <f>IF(AF100&lt;$C$11,0,IF(AI100&lt;0,$C$42*(1+$C$44)^(AF100-$C$10),IF(((AL100+BE100+BF100)*$C$41)&lt;$C$42*(1+$C$44)^(AF100-$C$10),$C$42*(1+$C$44)^(AF100-$C$10),IF(((AL100+BE100+BF100)*$C$41)&lt;$C$43*(1+$C$44)^(AF100-$C$10),(AL100+BE100+BF100)*$C$41,IF(((AL100+BE100+BF100+BB100)*$C$41)&lt;$C$43*(1+$C$44)^(AF100-$C$10),((AL100+BE100+BF100+BB100)*$C$41),$C$43*(1+$C$44)^(AF100-$C$10))))))</f>
        <v>14546.034070740563</v>
      </c>
      <c r="BH100" s="82">
        <f t="shared" si="72"/>
        <v>73583.816205967552</v>
      </c>
      <c r="BI100" s="242">
        <f t="shared" si="73"/>
        <v>1911944.3166668434</v>
      </c>
      <c r="BJ100" s="217">
        <f t="shared" si="74"/>
        <v>1838360.5004608759</v>
      </c>
      <c r="BK100" s="118"/>
      <c r="BL100" s="219">
        <f t="shared" si="4"/>
        <v>4</v>
      </c>
      <c r="BM100" s="220">
        <f t="shared" si="5"/>
        <v>21</v>
      </c>
      <c r="BN100" s="220">
        <f t="shared" si="6"/>
        <v>0</v>
      </c>
      <c r="BO100" s="221">
        <f t="shared" si="7"/>
        <v>0</v>
      </c>
      <c r="BP100" s="221">
        <f t="shared" si="8"/>
        <v>0</v>
      </c>
      <c r="BQ100" s="222">
        <f t="shared" si="9"/>
        <v>0</v>
      </c>
      <c r="BR100" s="223">
        <f>IF(BM100&lt;$C$11-$C$10+1,0,IF(BL100&lt;=$C$13,VLOOKUP(BL100,$BN$80:$BQ$156,2,FALSE)-BS100,0))</f>
        <v>10406.101155136879</v>
      </c>
      <c r="BS100" s="223">
        <f>IF(BM100&lt;$C$11-$C$10+1,0,IF(BL100&lt;=$C$13,VLOOKUP(BL100,$BN$80:$BQ$156,3,FALSE),0))</f>
        <v>26156.003842060971</v>
      </c>
      <c r="BT100" s="222">
        <f>IF(BM100&lt;$C$11-$C$10+1,0,IF(BL100&lt;=$C$13,VLOOKUP(BL100,$BN$80:$BQ$156,4,FALSE),0))</f>
        <v>0.39784751592684153</v>
      </c>
      <c r="BU100" s="223">
        <f t="shared" si="43"/>
        <v>0</v>
      </c>
      <c r="BV100" s="223">
        <f t="shared" si="44"/>
        <v>0</v>
      </c>
      <c r="BW100" s="223">
        <f t="shared" si="118"/>
        <v>0</v>
      </c>
      <c r="BX100" s="223">
        <f>IF(AND(BS100&lt;=0,BN100=0),MIN((MAX($BZ$80:$BZ$156)-SUM($BX$80:BX99)),CA100),IF(BS100&lt;CA100,BS100,CA100))</f>
        <v>26156.003842060971</v>
      </c>
      <c r="BY100" s="222">
        <f>IF(BN100&gt;0,0,IF(AND(BN100=0,BT100&lt;=0),100%,((BW99*(AVERAGE($BT$80:BT99))+(BR100*BT100))/(BR100+BW99+BS100+BV99))))</f>
        <v>0.11323312745182314</v>
      </c>
      <c r="BZ100" s="139">
        <f t="shared" si="46"/>
        <v>430891.77838569693</v>
      </c>
      <c r="CA100" s="122">
        <f t="shared" si="10"/>
        <v>46716.345903245885</v>
      </c>
      <c r="CB100" s="181">
        <f t="shared" si="47"/>
        <v>0.11323312745182314</v>
      </c>
      <c r="CC100" s="122">
        <f t="shared" si="48"/>
        <v>164542.7365661943</v>
      </c>
      <c r="CD100" s="182">
        <f t="shared" si="119"/>
        <v>26156.003842060971</v>
      </c>
      <c r="CE100" s="122">
        <f t="shared" si="75"/>
        <v>105472.88738578235</v>
      </c>
      <c r="CF100" s="122">
        <f t="shared" si="76"/>
        <v>325418.89099991461</v>
      </c>
      <c r="CG100" s="182" t="str">
        <f t="shared" si="12"/>
        <v>JA</v>
      </c>
      <c r="CH100" s="183">
        <f t="shared" si="13"/>
        <v>0.11323312745182314</v>
      </c>
      <c r="CI100" s="142">
        <f t="shared" si="77"/>
        <v>9984</v>
      </c>
      <c r="CJ100" s="134">
        <f>CI100*$C$57</f>
        <v>0</v>
      </c>
      <c r="CK100" s="142">
        <f t="shared" si="78"/>
        <v>14926</v>
      </c>
      <c r="CL100" s="134">
        <f>CK100*$C$57</f>
        <v>0</v>
      </c>
      <c r="CM100" s="142">
        <f t="shared" si="79"/>
        <v>58596</v>
      </c>
      <c r="CN100" s="134">
        <f>CM100*$C$57</f>
        <v>0</v>
      </c>
      <c r="CO100" s="132">
        <f t="shared" si="117"/>
        <v>5289.8379497456972</v>
      </c>
      <c r="CP100" s="140">
        <f t="shared" si="14"/>
        <v>0</v>
      </c>
      <c r="CQ100" s="121" t="str">
        <f>IF($C$50="NEIN","NEIN",IF(CS100&lt;CR100,"JA","NEIN"))</f>
        <v>NEIN</v>
      </c>
      <c r="CR100" s="121">
        <f>CO100*$C$46</f>
        <v>1395.1947592454276</v>
      </c>
      <c r="CS100" s="121">
        <f t="shared" si="15"/>
        <v>0</v>
      </c>
      <c r="CT100" s="201">
        <f>IF($C$50="NEIN",CR100,IF(CQ100="NEIN",CR100,CS100))</f>
        <v>1395.1947592454276</v>
      </c>
      <c r="CU100" s="149"/>
      <c r="CV100" s="202">
        <f t="shared" si="80"/>
        <v>9984</v>
      </c>
      <c r="CW100" s="134">
        <f>CV100*$C$57</f>
        <v>0</v>
      </c>
      <c r="CX100" s="142">
        <f t="shared" si="81"/>
        <v>14926</v>
      </c>
      <c r="CY100" s="134">
        <f>CX100*$C$57</f>
        <v>0</v>
      </c>
      <c r="CZ100" s="142">
        <f t="shared" si="82"/>
        <v>58596</v>
      </c>
      <c r="DA100" s="143">
        <f>CZ100*$C$57</f>
        <v>0</v>
      </c>
      <c r="DB100" s="165">
        <f>IF(BB100-BD100&lt;0,0,BB100-BD100)</f>
        <v>46716.345903245885</v>
      </c>
      <c r="DC100" s="140">
        <f>IF(DB100&lt;=0,0,IF(DB100&gt;CZ100,$CZ$76,IF(AND(DB100&gt;=CV100,DB100&lt;=CX100),($CX$76-$CV$76)/(CX100-CV100)*(DB100-CV100)+$CV$76,IF(AND(DB100&gt;=CX100,DB100&lt;=CZ100),($CZ$76-$CX$76)/(CZ100-CX100)*(DB100-CX100)+$CX$76,0))))</f>
        <v>0.37103417134381178</v>
      </c>
      <c r="DD100" s="121" t="str">
        <f>IF($C$50="NEIN","NEIN",IF(DF100&lt;DE100,"JA","NEIN"))</f>
        <v>NEIN</v>
      </c>
      <c r="DE100" s="121">
        <f>DB100*$C$46</f>
        <v>12321.436231981101</v>
      </c>
      <c r="DF100" s="121">
        <f>IF(DB100&lt;=0,0,IF(DB100&gt;CZ100,$CZ$76*DB100-9267.53,IF(AND(DB100&gt;=CV100,DB100&lt;=CX100),(1008.7*((DB100-CV100)/10000)+1400)*((DB100-CV100)/10000),IF(AND(DB100&gt;=CX100,DB100&lt;=CZ100),(206.43*((DB100-CX100)/10000)+2397)*((DB100-CX100)/10000)+938.24,0))))</f>
        <v>10644.621356061351</v>
      </c>
      <c r="DG100" s="201">
        <f>IF($C$50="NEIN",DE100,IF(DD100="NEIN",DE100,DF100))</f>
        <v>12321.436231981101</v>
      </c>
      <c r="DH100" s="159"/>
      <c r="DI100" s="74"/>
      <c r="DJ100" s="74"/>
      <c r="DK100" s="128"/>
      <c r="DL100" s="128"/>
      <c r="DM100" s="128"/>
      <c r="DN100" s="74"/>
      <c r="DO100" s="28">
        <f t="shared" si="83"/>
        <v>2041</v>
      </c>
      <c r="DP100" s="17">
        <f>IF($C$13+$C$10&gt;=DO100,-AG100,IF(DO100=$C$13+$C$10+1,$EK$93,0))</f>
        <v>0</v>
      </c>
      <c r="DQ100" s="17">
        <f t="shared" si="84"/>
        <v>577122.49048628786</v>
      </c>
      <c r="DR100" s="17">
        <f t="shared" si="85"/>
        <v>956874.08846404357</v>
      </c>
      <c r="DS100" s="17">
        <f t="shared" si="51"/>
        <v>16133.941502681013</v>
      </c>
      <c r="DT100" s="17">
        <f t="shared" si="18"/>
        <v>1041118.5920643953</v>
      </c>
      <c r="DU100" s="17">
        <f t="shared" si="86"/>
        <v>68110.562097670743</v>
      </c>
      <c r="DV100" s="33">
        <f t="shared" si="19"/>
        <v>476.77393468369502</v>
      </c>
      <c r="DW100" s="32">
        <f t="shared" si="20"/>
        <v>20822.371841287906</v>
      </c>
      <c r="DX100" s="17">
        <f t="shared" si="87"/>
        <v>0</v>
      </c>
      <c r="DY100" s="17">
        <f t="shared" si="88"/>
        <v>0</v>
      </c>
      <c r="DZ100" s="17">
        <f t="shared" si="21"/>
        <v>0</v>
      </c>
      <c r="EA100" s="17">
        <f t="shared" si="53"/>
        <v>3633.0666511977793</v>
      </c>
      <c r="EB100" s="15">
        <f t="shared" si="54"/>
        <v>17189.305190090126</v>
      </c>
      <c r="EC100" s="15">
        <f>IF(DP100=0,EC99,IF(DO100&lt;=$EK$88+$C$10,ABS(DP100)+EC99,EC99))</f>
        <v>430891.77838569693</v>
      </c>
      <c r="ED100" s="15">
        <f t="shared" si="89"/>
        <v>31722.324609893611</v>
      </c>
      <c r="EE100" s="16">
        <f t="shared" si="90"/>
        <v>1041118.5920643953</v>
      </c>
      <c r="EF100" s="15">
        <f t="shared" si="22"/>
        <v>16133.941502681013</v>
      </c>
      <c r="EG100" s="15">
        <f t="shared" si="91"/>
        <v>146230.71210059102</v>
      </c>
      <c r="EH100" s="16"/>
      <c r="EI100" s="16"/>
      <c r="EJ100"/>
      <c r="EK100"/>
      <c r="EL100"/>
      <c r="EM100" s="28">
        <f t="shared" si="92"/>
        <v>2041</v>
      </c>
      <c r="EN100" s="29">
        <f>IF($C$13+$C$10&gt;=EM100,-(AG100),IF(EM100=$C$13+$C$10+1,$FB$93,0))</f>
        <v>0</v>
      </c>
      <c r="EO100" s="30">
        <f t="shared" si="93"/>
        <v>430891.77838569693</v>
      </c>
      <c r="EP100" s="30">
        <f t="shared" si="94"/>
        <v>1014199.8628543805</v>
      </c>
      <c r="EQ100" s="30">
        <f t="shared" si="56"/>
        <v>0</v>
      </c>
      <c r="ER100" s="25">
        <f t="shared" si="23"/>
        <v>1085193.8532541872</v>
      </c>
      <c r="ES100" s="30">
        <f t="shared" si="95"/>
        <v>70993.990399806644</v>
      </c>
      <c r="ET100" s="26">
        <f t="shared" si="24"/>
        <v>496.95793279864642</v>
      </c>
      <c r="EU100" s="30">
        <f t="shared" si="96"/>
        <v>496.95793279864642</v>
      </c>
      <c r="EV100" s="25">
        <f t="shared" si="25"/>
        <v>0</v>
      </c>
      <c r="EW100" s="31">
        <f t="shared" si="97"/>
        <v>4580.1145240794285</v>
      </c>
      <c r="EX100" s="27">
        <f>IF(EM100=0,EX99,IF(EM100&lt;=$FB$88+$C$10,ABS(EN100)+EX99,EX99))</f>
        <v>430891.77838569693</v>
      </c>
      <c r="EY100" s="15"/>
      <c r="EZ100"/>
      <c r="FA100" s="12"/>
      <c r="FB100" s="12"/>
      <c r="FC100" s="74"/>
      <c r="FD100" s="74"/>
      <c r="FE100" s="74"/>
      <c r="FF100" s="74"/>
      <c r="FG100" s="74"/>
      <c r="FH100" s="74"/>
      <c r="FI100" s="74"/>
      <c r="FJ100" s="28">
        <f t="shared" si="98"/>
        <v>2041</v>
      </c>
      <c r="FK100" s="65">
        <f>IF($C$13+$C$10&gt;=FJ100,-AG100,IF(FJ100=$C$13+$C$10+1,$EK$93,0))</f>
        <v>0</v>
      </c>
      <c r="FL100" s="65">
        <f t="shared" si="99"/>
        <v>74118.803999999975</v>
      </c>
      <c r="FM100" s="65">
        <f t="shared" si="100"/>
        <v>182576.68936435753</v>
      </c>
      <c r="FN100" s="65">
        <f t="shared" si="59"/>
        <v>0</v>
      </c>
      <c r="FO100" s="65">
        <f t="shared" si="26"/>
        <v>195357.05761986258</v>
      </c>
      <c r="FP100" s="65">
        <f t="shared" si="101"/>
        <v>12780.368255505047</v>
      </c>
      <c r="FQ100" s="59">
        <f t="shared" si="27"/>
        <v>89.462577788535185</v>
      </c>
      <c r="FR100" s="60">
        <f t="shared" si="28"/>
        <v>3907.1411523972515</v>
      </c>
      <c r="FS100" s="65">
        <f t="shared" si="102"/>
        <v>0</v>
      </c>
      <c r="FT100" s="65">
        <f t="shared" si="103"/>
        <v>0</v>
      </c>
      <c r="FU100" s="65">
        <f t="shared" si="29"/>
        <v>0</v>
      </c>
      <c r="FV100" s="65">
        <f t="shared" si="61"/>
        <v>510.09218526134254</v>
      </c>
      <c r="FW100" s="61">
        <f t="shared" si="62"/>
        <v>3397.0489671359092</v>
      </c>
      <c r="FX100" s="61">
        <f>IF(AND(FJ100&lt;=$GF$88+$C$10,FV99&lt;=0,FN100&gt;0),(FJ100-$C$10+1)*AG100+$GF$80,FX99)</f>
        <v>73074.599999999977</v>
      </c>
      <c r="FY100" s="62">
        <f t="shared" si="63"/>
        <v>2.4144804078377979</v>
      </c>
      <c r="FZ100" s="63">
        <f t="shared" si="104"/>
        <v>195357.05761986258</v>
      </c>
      <c r="GA100" s="64">
        <f t="shared" si="105"/>
        <v>3726.0548849868887</v>
      </c>
      <c r="GB100" s="64">
        <f t="shared" si="106"/>
        <v>47757.17586002568</v>
      </c>
      <c r="GC100" s="66">
        <f t="shared" si="30"/>
        <v>0</v>
      </c>
      <c r="GD100" s="64">
        <f t="shared" si="107"/>
        <v>1580.6039999999994</v>
      </c>
      <c r="GE100"/>
      <c r="GF100"/>
      <c r="GG100" s="74"/>
      <c r="GH100" s="74"/>
      <c r="GI100" s="28">
        <f t="shared" si="108"/>
        <v>2041</v>
      </c>
      <c r="GJ100" s="9">
        <f>IF($GX$88+$C$10&gt;=GI100,-AG100,IF(GI100=$GX$88+$C$10+1,$FB$93,0))</f>
        <v>0</v>
      </c>
      <c r="GK100" s="5">
        <f t="shared" si="109"/>
        <v>399259.61046223238</v>
      </c>
      <c r="GL100" s="5">
        <f t="shared" si="110"/>
        <v>820056.88032276311</v>
      </c>
      <c r="GM100" s="35">
        <f t="shared" si="65"/>
        <v>3180.0616670335685</v>
      </c>
      <c r="GN100" s="4">
        <f t="shared" si="31"/>
        <v>880863.52792908251</v>
      </c>
      <c r="GO100" s="5">
        <f t="shared" si="111"/>
        <v>57626.585939285811</v>
      </c>
      <c r="GP100" s="5">
        <f t="shared" si="32"/>
        <v>403.38610157500034</v>
      </c>
      <c r="GQ100" s="5">
        <f t="shared" si="112"/>
        <v>403.38610157500034</v>
      </c>
      <c r="GR100" s="4">
        <f t="shared" si="33"/>
        <v>74.475159003284432</v>
      </c>
      <c r="GS100" s="7">
        <f t="shared" si="113"/>
        <v>3371.2274222679489</v>
      </c>
      <c r="GT100" s="107" t="e">
        <f>IF($DG$62=0,EX100,IF(GI100-$C$10+1&lt;=$GF$98,0,#REF!-FX100))</f>
        <v>#REF!</v>
      </c>
      <c r="GU100"/>
      <c r="GV100"/>
      <c r="GW100" t="s">
        <v>111</v>
      </c>
      <c r="GX100"/>
      <c r="GY100" s="74"/>
      <c r="GZ100" s="74"/>
      <c r="HA100" s="74"/>
      <c r="HB100" s="74"/>
      <c r="HC100" s="74"/>
      <c r="HD100" s="74"/>
    </row>
    <row r="101" spans="1:212" ht="16.149999999999999" thickBot="1" x14ac:dyDescent="0.55000000000000004">
      <c r="AB101" s="117" t="str">
        <f t="shared" si="34"/>
        <v/>
      </c>
      <c r="AC101" s="117" t="str">
        <f t="shared" si="35"/>
        <v/>
      </c>
      <c r="AD101" s="299">
        <f>IF($C$20="NEIN",$C$21,IF($C$22="JA",'HISTORISCHE RENDITEN'!E25,'HISTORISCHE RENDITEN'!D25))</f>
        <v>0.23559999999999998</v>
      </c>
      <c r="AE101" s="129">
        <f t="shared" si="116"/>
        <v>49</v>
      </c>
      <c r="AF101" s="120">
        <f t="shared" si="37"/>
        <v>2042</v>
      </c>
      <c r="AG101" s="122">
        <f t="shared" si="0"/>
        <v>0</v>
      </c>
      <c r="AH101" s="124">
        <f t="shared" si="38"/>
        <v>430891.77838569693</v>
      </c>
      <c r="AI101" s="296">
        <f t="shared" si="114"/>
        <v>1838360.5004608759</v>
      </c>
      <c r="AJ101" s="123">
        <f t="shared" si="67"/>
        <v>0</v>
      </c>
      <c r="AK101" s="124">
        <f t="shared" si="68"/>
        <v>2271478.2343694582</v>
      </c>
      <c r="AL101" s="122">
        <f t="shared" si="1"/>
        <v>433117.73390858225</v>
      </c>
      <c r="AM101" s="122">
        <f>IF($C$25="Ausschütter",0,IF(AL101&gt;=0,(AI101+AJ101)*$C$48*0.7))</f>
        <v>900.79664522582914</v>
      </c>
      <c r="AN101" s="122">
        <f t="shared" si="2"/>
        <v>0</v>
      </c>
      <c r="AO101" s="122">
        <f t="shared" si="39"/>
        <v>900.79664522582914</v>
      </c>
      <c r="AP101" s="122">
        <f t="shared" si="69"/>
        <v>6616.4757208313358</v>
      </c>
      <c r="AQ101" s="122">
        <f>IF($C$25="AUSSCHÜTTER",0,IF(AO101*$C$46*$C$49&lt;=$C$47,0,AO101*$C$46*$C$49))</f>
        <v>0</v>
      </c>
      <c r="AR101" s="122">
        <f>IF(AO100*$C$49&gt;$C$47,(AN101)*$C$49*$C$46,IF((AO100+AN101)*$C$49&gt;$C$47,((AO100+AN101)*$C$49-$C$47)*$C$46,0))</f>
        <v>0</v>
      </c>
      <c r="AS101" s="122">
        <f t="shared" si="70"/>
        <v>0</v>
      </c>
      <c r="AT101" s="122">
        <f t="shared" si="40"/>
        <v>430891.77838569693</v>
      </c>
      <c r="AU101" s="122">
        <f t="shared" si="115"/>
        <v>0</v>
      </c>
      <c r="AV101" s="122">
        <f t="shared" si="71"/>
        <v>2271478.2343694582</v>
      </c>
      <c r="AW101" s="122">
        <f t="shared" si="41"/>
        <v>0</v>
      </c>
      <c r="AX101" s="130">
        <f t="shared" si="42"/>
        <v>0</v>
      </c>
      <c r="AY101" s="82">
        <f>IF(AF101&lt;$C$11,$C$15*(1+$C$19)^(AF101-$C$10),0)</f>
        <v>0</v>
      </c>
      <c r="AZ101" s="82">
        <f>$C$14*(1+$C$37)^(AF101-$C$10)</f>
        <v>30232.473323357794</v>
      </c>
      <c r="BA101" s="165">
        <f>IF(AF101&lt;$C$11,0,MAX($C$38*AI101,AZ101))</f>
        <v>55150.815013826279</v>
      </c>
      <c r="BB101" s="82">
        <f>IF(AF101&lt;$C$11,0,MAX($C$38*AI101,AZ101))</f>
        <v>55150.815013826279</v>
      </c>
      <c r="BC101" s="136">
        <f>IF($C$39="JA",CT101,DG101)</f>
        <v>14546.027459896681</v>
      </c>
      <c r="BD101" s="82">
        <f t="shared" si="3"/>
        <v>0</v>
      </c>
      <c r="BE101" s="82">
        <f>IF(AF101&lt;($C$8+$C$30),0,$C$29*12*(1-$C$31))</f>
        <v>0</v>
      </c>
      <c r="BF101" s="82">
        <f>IF(AF101&lt;($C$8+$C$34),0,$C$33*12*(1-$C$35))</f>
        <v>0</v>
      </c>
      <c r="BG101" s="82">
        <f>IF(AF101&lt;$C$11,0,IF(AI101&lt;0,$C$42*(1+$C$44)^(AF101-$C$10),IF(((AL101+BE101+BF101)*$C$41)&lt;$C$42*(1+$C$44)^(AF101-$C$10),$C$42*(1+$C$44)^(AF101-$C$10),IF(((AL101+BE101+BF101)*$C$41)&lt;$C$43*(1+$C$44)^(AF101-$C$10),(AL101+BE101+BF101)*$C$41,IF(((AL101+BE101+BF101+BB101)*$C$41)&lt;$C$43*(1+$C$44)^(AF101-$C$10),((AL101+BE101+BF101+BB101)*$C$41),$C$43*(1+$C$44)^(AF101-$C$10))))))</f>
        <v>14764.224581801671</v>
      </c>
      <c r="BH101" s="82">
        <f t="shared" si="72"/>
        <v>84461.067055524632</v>
      </c>
      <c r="BI101" s="242">
        <f t="shared" si="73"/>
        <v>2271478.2343694582</v>
      </c>
      <c r="BJ101" s="217">
        <f t="shared" si="74"/>
        <v>2187017.1673139334</v>
      </c>
      <c r="BK101" s="118"/>
      <c r="BL101" s="219">
        <f t="shared" si="4"/>
        <v>5</v>
      </c>
      <c r="BM101" s="220">
        <f t="shared" si="5"/>
        <v>22</v>
      </c>
      <c r="BN101" s="220">
        <f t="shared" si="6"/>
        <v>0</v>
      </c>
      <c r="BO101" s="221">
        <f t="shared" si="7"/>
        <v>0</v>
      </c>
      <c r="BP101" s="221">
        <f t="shared" si="8"/>
        <v>0</v>
      </c>
      <c r="BQ101" s="222">
        <f t="shared" si="9"/>
        <v>0</v>
      </c>
      <c r="BR101" s="223">
        <f>IF(BM101&lt;$C$11-$C$10+1,0,IF(BL101&lt;=$C$13,VLOOKUP(BL101,$BN$80:$BQ$156,2,FALSE)-BS101,0))</f>
        <v>13522.42665177778</v>
      </c>
      <c r="BS101" s="223">
        <f>IF(BM101&lt;$C$11-$C$10+1,0,IF(BL101&lt;=$C$13,VLOOKUP(BL101,$BN$80:$BQ$156,3,FALSE),0))</f>
        <v>26007.96436495104</v>
      </c>
      <c r="BT101" s="222">
        <f>IF(BM101&lt;$C$11-$C$10+1,0,IF(BL101&lt;=$C$13,VLOOKUP(BL101,$BN$80:$BQ$156,4,FALSE),0))</f>
        <v>0.51993406565878453</v>
      </c>
      <c r="BU101" s="223">
        <f t="shared" si="43"/>
        <v>0</v>
      </c>
      <c r="BV101" s="223">
        <f t="shared" si="44"/>
        <v>0</v>
      </c>
      <c r="BW101" s="223">
        <f t="shared" si="118"/>
        <v>0</v>
      </c>
      <c r="BX101" s="223">
        <f>IF(AND(BS101&lt;=0,BN101=0),MIN((MAX($BZ$80:$BZ$156)-SUM($BX$80:BX100)),CA101),IF(BS101&lt;CA101,BS101,CA101))</f>
        <v>26007.96436495104</v>
      </c>
      <c r="BY101" s="222">
        <f>IF(BN101&gt;0,0,IF(AND(BN101=0,BT101&lt;=0),100%,((BW100*(AVERAGE($BT$80:BT100))+(BR101*BT101))/(BR101+BW100+BS101+BV100))))</f>
        <v>0.1778573418020627</v>
      </c>
      <c r="BZ101" s="139">
        <f t="shared" si="46"/>
        <v>430891.77838569693</v>
      </c>
      <c r="CA101" s="122">
        <f t="shared" si="10"/>
        <v>55150.815013826279</v>
      </c>
      <c r="CB101" s="181">
        <f t="shared" si="47"/>
        <v>0.1778573418020627</v>
      </c>
      <c r="CC101" s="122">
        <f t="shared" si="48"/>
        <v>219693.55158002058</v>
      </c>
      <c r="CD101" s="182">
        <f t="shared" si="119"/>
        <v>26007.96436495104</v>
      </c>
      <c r="CE101" s="122">
        <f t="shared" si="75"/>
        <v>131480.85175073339</v>
      </c>
      <c r="CF101" s="122">
        <f t="shared" si="76"/>
        <v>299410.92663496354</v>
      </c>
      <c r="CG101" s="182" t="str">
        <f t="shared" si="12"/>
        <v>JA</v>
      </c>
      <c r="CH101" s="183">
        <f t="shared" si="13"/>
        <v>0.1778573418020627</v>
      </c>
      <c r="CI101" s="142">
        <f t="shared" si="77"/>
        <v>9984</v>
      </c>
      <c r="CJ101" s="134">
        <f>CI101*$C$57</f>
        <v>0</v>
      </c>
      <c r="CK101" s="142">
        <f t="shared" si="78"/>
        <v>14926</v>
      </c>
      <c r="CL101" s="134">
        <f>CK101*$C$57</f>
        <v>0</v>
      </c>
      <c r="CM101" s="142">
        <f t="shared" si="79"/>
        <v>58596</v>
      </c>
      <c r="CN101" s="134">
        <f>CM101*$C$57</f>
        <v>0</v>
      </c>
      <c r="CO101" s="132">
        <f t="shared" si="117"/>
        <v>9808.9773565764317</v>
      </c>
      <c r="CP101" s="140">
        <f t="shared" si="14"/>
        <v>0</v>
      </c>
      <c r="CQ101" s="121" t="str">
        <f>IF($C$50="NEIN","NEIN",IF(CS101&lt;CR101,"JA","NEIN"))</f>
        <v>NEIN</v>
      </c>
      <c r="CR101" s="121">
        <f>CO101*$C$46</f>
        <v>2587.1177777970338</v>
      </c>
      <c r="CS101" s="121">
        <f t="shared" si="15"/>
        <v>0</v>
      </c>
      <c r="CT101" s="201">
        <f>IF($C$50="NEIN",CR101,IF(CQ101="NEIN",CR101,CS101))</f>
        <v>2587.1177777970338</v>
      </c>
      <c r="CU101" s="149"/>
      <c r="CV101" s="202">
        <f t="shared" si="80"/>
        <v>9984</v>
      </c>
      <c r="CW101" s="134">
        <f>CV101*$C$57</f>
        <v>0</v>
      </c>
      <c r="CX101" s="142">
        <f t="shared" si="81"/>
        <v>14926</v>
      </c>
      <c r="CY101" s="134">
        <f>CX101*$C$57</f>
        <v>0</v>
      </c>
      <c r="CZ101" s="142">
        <f t="shared" si="82"/>
        <v>58596</v>
      </c>
      <c r="DA101" s="143">
        <f>CZ101*$C$57</f>
        <v>0</v>
      </c>
      <c r="DB101" s="165">
        <f t="shared" si="120"/>
        <v>55150.815013826279</v>
      </c>
      <c r="DC101" s="140">
        <f>IF(DB101&lt;=0,0,IF(DB101&gt;CZ101,$CZ$76,IF(AND(DB101&gt;=CV101,DB101&lt;=CX101),($CX$76-$CV$76)/(CX101-CV101)*(DB101-CV101)+$CV$76,IF(AND(DB101&gt;=CX101,DB101&lt;=CZ101),($CZ$76-$CX$76)/(CZ101-CX101)*(DB101-CX101)+$CX$76,0))))</f>
        <v>0.40579955810599333</v>
      </c>
      <c r="DD101" s="121" t="str">
        <f>IF($C$50="NEIN","NEIN",IF(DF101&lt;DE101,"JA","NEIN"))</f>
        <v>NEIN</v>
      </c>
      <c r="DE101" s="121">
        <f>DB101*$C$46</f>
        <v>14546.027459896681</v>
      </c>
      <c r="DF101" s="121">
        <f t="shared" si="17"/>
        <v>13920.239342875495</v>
      </c>
      <c r="DG101" s="201">
        <f>IF($C$50="NEIN",DE101,IF(DD101="NEIN",DE101,DF101))</f>
        <v>14546.027459896681</v>
      </c>
      <c r="DH101" s="159"/>
      <c r="DI101" s="74"/>
      <c r="DJ101" s="74"/>
      <c r="DK101" s="128"/>
      <c r="DL101" s="128"/>
      <c r="DM101" s="128"/>
      <c r="DN101" s="74"/>
      <c r="DO101" s="28">
        <f t="shared" si="83"/>
        <v>2042</v>
      </c>
      <c r="DP101" s="17">
        <f>IF($C$13+$C$10&gt;=DO101,-AG101,IF(DO101=$C$13+$C$10+1,$EK$93,0))</f>
        <v>0</v>
      </c>
      <c r="DQ101" s="17">
        <f t="shared" si="84"/>
        <v>594311.79567637795</v>
      </c>
      <c r="DR101" s="17">
        <f t="shared" si="85"/>
        <v>1020296.2202231074</v>
      </c>
      <c r="DS101" s="17">
        <f t="shared" si="51"/>
        <v>17189.305190090126</v>
      </c>
      <c r="DT101" s="17">
        <f t="shared" si="18"/>
        <v>1110109.5121921212</v>
      </c>
      <c r="DU101" s="17">
        <f t="shared" si="86"/>
        <v>72623.986778923776</v>
      </c>
      <c r="DV101" s="33">
        <f t="shared" si="19"/>
        <v>508.36790745246674</v>
      </c>
      <c r="DW101" s="32">
        <f t="shared" si="20"/>
        <v>22202.190243842426</v>
      </c>
      <c r="DX101" s="17">
        <f t="shared" si="87"/>
        <v>0</v>
      </c>
      <c r="DY101" s="17">
        <f t="shared" si="88"/>
        <v>0</v>
      </c>
      <c r="DZ101" s="17">
        <f t="shared" si="21"/>
        <v>0</v>
      </c>
      <c r="EA101" s="17">
        <f t="shared" si="53"/>
        <v>3887.8156237694075</v>
      </c>
      <c r="EB101" s="15">
        <f t="shared" si="54"/>
        <v>18314.374620073017</v>
      </c>
      <c r="EC101" s="15">
        <f>IF(DP101=0,EC100,IF(DO101&lt;=$EK$88+$C$10,ABS(DP101)+EC100,EC100))</f>
        <v>430891.77838569693</v>
      </c>
      <c r="ED101" s="15">
        <f t="shared" si="89"/>
        <v>35610.14023366302</v>
      </c>
      <c r="EE101" s="16">
        <f>DT101</f>
        <v>1110109.5121921212</v>
      </c>
      <c r="EF101" s="15">
        <f t="shared" si="22"/>
        <v>17189.305190090126</v>
      </c>
      <c r="EG101" s="15">
        <f t="shared" si="91"/>
        <v>163420.01729068113</v>
      </c>
      <c r="EH101" s="16"/>
      <c r="EI101" s="16"/>
      <c r="EJ101"/>
      <c r="EK101"/>
      <c r="EL101"/>
      <c r="EM101" s="28">
        <f t="shared" si="92"/>
        <v>2042</v>
      </c>
      <c r="EN101" s="29">
        <f>IF($C$13+$C$10&gt;=EM101,-(AG101),IF(EM101=$C$13+$C$10+1,$FB$93,0))</f>
        <v>0</v>
      </c>
      <c r="EO101" s="30">
        <f t="shared" si="93"/>
        <v>430891.77838569693</v>
      </c>
      <c r="EP101" s="30">
        <f t="shared" si="94"/>
        <v>1085193.8532541872</v>
      </c>
      <c r="EQ101" s="30">
        <f t="shared" si="56"/>
        <v>0</v>
      </c>
      <c r="ER101" s="25">
        <f t="shared" si="23"/>
        <v>1161157.4229819803</v>
      </c>
      <c r="ES101" s="30">
        <f t="shared" si="95"/>
        <v>75963.569727793103</v>
      </c>
      <c r="ET101" s="26">
        <f t="shared" si="24"/>
        <v>531.74498809455167</v>
      </c>
      <c r="EU101" s="30">
        <f t="shared" si="96"/>
        <v>531.74498809455167</v>
      </c>
      <c r="EV101" s="25">
        <f t="shared" si="25"/>
        <v>0</v>
      </c>
      <c r="EW101" s="31">
        <f t="shared" si="97"/>
        <v>5111.85951217398</v>
      </c>
      <c r="EX101" s="27">
        <f>IF(EM101=0,EX100,IF(EM101&lt;=$FB$88+$C$10,ABS(EN101)+EX100,EX100))</f>
        <v>430891.77838569693</v>
      </c>
      <c r="EY101" s="15"/>
      <c r="EZ101"/>
      <c r="FA101"/>
      <c r="FB101"/>
      <c r="FC101" s="74"/>
      <c r="FD101" s="74"/>
      <c r="FE101" s="74"/>
      <c r="FF101" s="74"/>
      <c r="FG101" s="74"/>
      <c r="FH101" s="74"/>
      <c r="FI101" s="74"/>
      <c r="FJ101" s="28">
        <f t="shared" si="98"/>
        <v>2042</v>
      </c>
      <c r="FK101" s="65">
        <f>IF($C$13+$C$10&gt;=FJ101,-AG101,IF(FJ101=$C$13+$C$10+1,$EK$93,0))</f>
        <v>0</v>
      </c>
      <c r="FL101" s="65">
        <f t="shared" si="99"/>
        <v>74118.803999999975</v>
      </c>
      <c r="FM101" s="65">
        <f t="shared" si="100"/>
        <v>191449.91646746531</v>
      </c>
      <c r="FN101" s="65">
        <f t="shared" si="59"/>
        <v>0</v>
      </c>
      <c r="FO101" s="65">
        <f t="shared" si="26"/>
        <v>204851.4106201879</v>
      </c>
      <c r="FP101" s="65">
        <f t="shared" si="101"/>
        <v>13401.494152722589</v>
      </c>
      <c r="FQ101" s="59">
        <f t="shared" si="27"/>
        <v>93.810459069057998</v>
      </c>
      <c r="FR101" s="60">
        <f t="shared" si="28"/>
        <v>4097.0282124037585</v>
      </c>
      <c r="FS101" s="65">
        <f t="shared" si="102"/>
        <v>0</v>
      </c>
      <c r="FT101" s="65">
        <f t="shared" si="103"/>
        <v>0</v>
      </c>
      <c r="FU101" s="65">
        <f t="shared" si="29"/>
        <v>0</v>
      </c>
      <c r="FV101" s="65">
        <f t="shared" si="61"/>
        <v>545.15008371504382</v>
      </c>
      <c r="FW101" s="61">
        <f t="shared" si="62"/>
        <v>3551.8781286887147</v>
      </c>
      <c r="FX101" s="61">
        <f>IF(AND(FJ101&lt;=$GF$88+$C$10,FV100&lt;=0,FN101&gt;0),(FJ101-$C$10+1)*AG101+$GF$80,FX100)</f>
        <v>73074.599999999977</v>
      </c>
      <c r="FY101" s="62">
        <f t="shared" si="63"/>
        <v>2.5804241556587146</v>
      </c>
      <c r="FZ101" s="63">
        <f t="shared" si="104"/>
        <v>204851.4106201879</v>
      </c>
      <c r="GA101" s="64">
        <f t="shared" si="105"/>
        <v>3907.1411523972515</v>
      </c>
      <c r="GB101" s="64">
        <f t="shared" si="106"/>
        <v>51664.317012422929</v>
      </c>
      <c r="GC101" s="66">
        <f t="shared" si="30"/>
        <v>0</v>
      </c>
      <c r="GD101" s="64">
        <f t="shared" si="107"/>
        <v>1580.6039999999994</v>
      </c>
      <c r="GE101"/>
      <c r="GF101"/>
      <c r="GG101" s="74"/>
      <c r="GH101" s="74"/>
      <c r="GI101" s="28">
        <f t="shared" si="108"/>
        <v>2042</v>
      </c>
      <c r="GJ101" s="9">
        <f>IF($GX$88+$C$10&gt;=GI101,-AG101,IF(GI101=$GX$88+$C$10+1,$FB$93,0))</f>
        <v>0</v>
      </c>
      <c r="GK101" s="5">
        <f t="shared" si="109"/>
        <v>402582.18427036499</v>
      </c>
      <c r="GL101" s="5">
        <f t="shared" si="110"/>
        <v>880863.52792908251</v>
      </c>
      <c r="GM101" s="35">
        <f t="shared" si="65"/>
        <v>3322.5738081326249</v>
      </c>
      <c r="GN101" s="4">
        <f t="shared" si="31"/>
        <v>946079.1288588203</v>
      </c>
      <c r="GO101" s="5">
        <f t="shared" si="111"/>
        <v>61893.027121605119</v>
      </c>
      <c r="GP101" s="5">
        <f t="shared" si="32"/>
        <v>433.25118985123544</v>
      </c>
      <c r="GQ101" s="5">
        <f t="shared" si="112"/>
        <v>433.25118985123544</v>
      </c>
      <c r="GR101" s="4">
        <f t="shared" si="33"/>
        <v>79.989000926284334</v>
      </c>
      <c r="GS101" s="7">
        <f t="shared" si="113"/>
        <v>3804.4786121191842</v>
      </c>
      <c r="GT101" s="107" t="e">
        <f>IF($DG$62=0,EX101,IF(GI101-$C$10+1&lt;=$GF$98,0,#REF!-FX101))</f>
        <v>#REF!</v>
      </c>
      <c r="GU101"/>
      <c r="GV101"/>
      <c r="GW101" s="23" t="e">
        <f>GX93+GF93</f>
        <v>#REF!</v>
      </c>
      <c r="GX101"/>
      <c r="GY101" s="74"/>
      <c r="GZ101" s="74"/>
      <c r="HA101" s="74"/>
      <c r="HB101" s="74"/>
      <c r="HC101" s="74"/>
      <c r="HD101" s="74"/>
    </row>
    <row r="102" spans="1:212" ht="16.149999999999999" thickBot="1" x14ac:dyDescent="0.55000000000000004">
      <c r="AB102" s="117" t="str">
        <f t="shared" si="34"/>
        <v/>
      </c>
      <c r="AC102" s="117" t="str">
        <f t="shared" si="35"/>
        <v/>
      </c>
      <c r="AD102" s="299">
        <f>IF($C$20="NEIN",$C$21,IF($C$22="JA",'HISTORISCHE RENDITEN'!E26,'HISTORISCHE RENDITEN'!D26))</f>
        <v>-0.14050000000000001</v>
      </c>
      <c r="AE102" s="129">
        <f t="shared" si="116"/>
        <v>50</v>
      </c>
      <c r="AF102" s="120">
        <f t="shared" si="37"/>
        <v>2043</v>
      </c>
      <c r="AG102" s="122">
        <f t="shared" si="0"/>
        <v>0</v>
      </c>
      <c r="AH102" s="124">
        <f t="shared" si="38"/>
        <v>430891.77838569693</v>
      </c>
      <c r="AI102" s="296">
        <f t="shared" si="114"/>
        <v>2187017.1673139334</v>
      </c>
      <c r="AJ102" s="123">
        <f t="shared" si="67"/>
        <v>0</v>
      </c>
      <c r="AK102" s="124">
        <f t="shared" si="68"/>
        <v>1879741.2553063256</v>
      </c>
      <c r="AL102" s="122">
        <f t="shared" si="1"/>
        <v>-307275.91200760775</v>
      </c>
      <c r="AM102" s="122" t="b">
        <f>IF($C$25="Ausschütter",0,IF(AL102&gt;=0,(AI102+AJ102)*$C$48*0.7))</f>
        <v>0</v>
      </c>
      <c r="AN102" s="122">
        <f t="shared" si="2"/>
        <v>0</v>
      </c>
      <c r="AO102" s="122">
        <f t="shared" si="39"/>
        <v>0</v>
      </c>
      <c r="AP102" s="122">
        <f t="shared" si="69"/>
        <v>6616.4757208313358</v>
      </c>
      <c r="AQ102" s="122">
        <f>IF($C$25="AUSSCHÜTTER",0,IF(AO102*$C$46*$C$49&lt;=$C$47,0,AO102*$C$46*$C$49))</f>
        <v>0</v>
      </c>
      <c r="AR102" s="122">
        <f>IF(AO101*$C$49&gt;$C$47,(AN102)*$C$49*$C$46,IF((AO101+AN102)*$C$49&gt;$C$47,((AO101+AN102)*$C$49-$C$47)*$C$46,0))</f>
        <v>0</v>
      </c>
      <c r="AS102" s="122">
        <f t="shared" si="70"/>
        <v>0</v>
      </c>
      <c r="AT102" s="122">
        <f t="shared" si="40"/>
        <v>430891.77838569693</v>
      </c>
      <c r="AU102" s="122">
        <f t="shared" si="115"/>
        <v>0</v>
      </c>
      <c r="AV102" s="122">
        <f t="shared" si="71"/>
        <v>1879741.2553063256</v>
      </c>
      <c r="AW102" s="122">
        <f t="shared" si="41"/>
        <v>0</v>
      </c>
      <c r="AX102" s="130">
        <f t="shared" si="42"/>
        <v>0</v>
      </c>
      <c r="AY102" s="82">
        <f>IF(AF102&lt;$C$11,$C$15*(1+$C$19)^(AF102-$C$10),0)</f>
        <v>0</v>
      </c>
      <c r="AZ102" s="82">
        <f>$C$14*(1+$C$37)^(AF102-$C$10)</f>
        <v>30988.28515644174</v>
      </c>
      <c r="BA102" s="165">
        <f>IF(AF102&lt;$C$11,0,MAX($C$38*AI102,AZ102))</f>
        <v>65610.515019418002</v>
      </c>
      <c r="BB102" s="82">
        <f>IF(AF102&lt;$C$11,0,MAX($C$38*AI102,AZ102))</f>
        <v>65610.515019418002</v>
      </c>
      <c r="BC102" s="136">
        <f>IF($C$39="JA",CT102,DG102)</f>
        <v>17304.773336371498</v>
      </c>
      <c r="BD102" s="82">
        <f t="shared" si="3"/>
        <v>0</v>
      </c>
      <c r="BE102" s="82">
        <f>IF(AF102&lt;($C$8+$C$30),0,$C$29*12*(1-$C$31))</f>
        <v>0</v>
      </c>
      <c r="BF102" s="82">
        <f>IF(AF102&lt;($C$8+$C$34),0,$C$33*12*(1-$C$35))</f>
        <v>0</v>
      </c>
      <c r="BG102" s="82">
        <f>IF(AF102&lt;$C$11,0,IF(AI102&lt;0,$C$42*(1+$C$44)^(AF102-$C$10),IF(((AL102+BE102+BF102)*$C$41)&lt;$C$42*(1+$C$44)^(AF102-$C$10),$C$42*(1+$C$44)^(AF102-$C$10),IF(((AL102+BE102+BF102)*$C$41)&lt;$C$43*(1+$C$44)^(AF102-$C$10),(AL102+BE102+BF102)*$C$41,IF(((AL102+BE102+BF102+BB102)*$C$41)&lt;$C$43*(1+$C$44)^(AF102-$C$10),((AL102+BE102+BF102+BB102)*$C$41),$C$43*(1+$C$44)^(AF102-$C$10))))))</f>
        <v>3330.1528778952652</v>
      </c>
      <c r="BH102" s="82">
        <f t="shared" si="72"/>
        <v>86245.441233684774</v>
      </c>
      <c r="BI102" s="242">
        <f t="shared" si="73"/>
        <v>1879741.2553063256</v>
      </c>
      <c r="BJ102" s="217">
        <f t="shared" si="74"/>
        <v>1793495.8140726408</v>
      </c>
      <c r="BK102" s="118"/>
      <c r="BL102" s="219">
        <f t="shared" si="4"/>
        <v>6</v>
      </c>
      <c r="BM102" s="220">
        <f t="shared" si="5"/>
        <v>23</v>
      </c>
      <c r="BN102" s="220">
        <f t="shared" ref="BN102:BN133" si="121">IF(AF102&lt;$C$11,($C$10+77)-AF102,0)</f>
        <v>0</v>
      </c>
      <c r="BO102" s="221">
        <f t="shared" si="7"/>
        <v>0</v>
      </c>
      <c r="BP102" s="221">
        <f t="shared" si="8"/>
        <v>0</v>
      </c>
      <c r="BQ102" s="222">
        <f t="shared" si="9"/>
        <v>0</v>
      </c>
      <c r="BR102" s="223">
        <f>IF(BM102&lt;$C$11-$C$10+1,0,IF(BL102&lt;=$C$13,VLOOKUP(BL102,$BN$80:$BQ$156,2,FALSE)-BS102,0))</f>
        <v>16875.978182650029</v>
      </c>
      <c r="BS102" s="223">
        <f>IF(BM102&lt;$C$11-$C$10+1,0,IF(BL102&lt;=$C$13,VLOOKUP(BL102,$BN$80:$BQ$156,3,FALSE),0))</f>
        <v>25856.295530399289</v>
      </c>
      <c r="BT102" s="222">
        <f>IF(BM102&lt;$C$11-$C$10+1,0,IF(BL102&lt;=$C$13,VLOOKUP(BL102,$BN$80:$BQ$156,4,FALSE),0))</f>
        <v>0.65268352780114669</v>
      </c>
      <c r="BU102" s="223">
        <f t="shared" si="43"/>
        <v>0</v>
      </c>
      <c r="BV102" s="223">
        <f t="shared" si="44"/>
        <v>0</v>
      </c>
      <c r="BW102" s="223">
        <f t="shared" si="118"/>
        <v>0</v>
      </c>
      <c r="BX102" s="223">
        <f>IF(AND(BS102&lt;=0,BN102=0),MIN((MAX($BZ$80:$BZ$156)-SUM($BX$80:BX101)),CA102),IF(BS102&lt;CA102,BS102,CA102))</f>
        <v>25856.295530399289</v>
      </c>
      <c r="BY102" s="222">
        <f>IF(BN102&gt;0,0,IF(AND(BN102=0,BT102&lt;=0),100%,((BW101*(AVERAGE($BT$80:BT101))+(BR102*BT102))/(BR102+BW101+BS102+BV101))))</f>
        <v>0.25776004921506462</v>
      </c>
      <c r="BZ102" s="139">
        <f t="shared" si="46"/>
        <v>430891.77838569693</v>
      </c>
      <c r="CA102" s="122">
        <f t="shared" si="10"/>
        <v>65610.515019418002</v>
      </c>
      <c r="CB102" s="181">
        <f t="shared" si="47"/>
        <v>0.25776004921506462</v>
      </c>
      <c r="CC102" s="122">
        <f>CA102+CC101</f>
        <v>285304.06659943855</v>
      </c>
      <c r="CD102" s="182">
        <f t="shared" si="119"/>
        <v>25856.295530399289</v>
      </c>
      <c r="CE102" s="122">
        <f t="shared" si="75"/>
        <v>157337.14728113267</v>
      </c>
      <c r="CF102" s="122">
        <f t="shared" si="76"/>
        <v>273554.63110456429</v>
      </c>
      <c r="CG102" s="182" t="str">
        <f t="shared" si="12"/>
        <v>JA</v>
      </c>
      <c r="CH102" s="183">
        <f t="shared" si="13"/>
        <v>0.25776004921506462</v>
      </c>
      <c r="CI102" s="142">
        <f t="shared" si="77"/>
        <v>9984</v>
      </c>
      <c r="CJ102" s="134">
        <f>CI102*$C$57</f>
        <v>0</v>
      </c>
      <c r="CK102" s="142">
        <f t="shared" si="78"/>
        <v>14926</v>
      </c>
      <c r="CL102" s="134">
        <f>CK102*$C$57</f>
        <v>0</v>
      </c>
      <c r="CM102" s="142">
        <f t="shared" si="79"/>
        <v>58596</v>
      </c>
      <c r="CN102" s="134">
        <f>CM102*$C$57</f>
        <v>0</v>
      </c>
      <c r="CO102" s="132">
        <f t="shared" si="117"/>
        <v>16911.769580430922</v>
      </c>
      <c r="CP102" s="140">
        <f t="shared" si="14"/>
        <v>0.24818499025595525</v>
      </c>
      <c r="CQ102" s="121" t="str">
        <f>IF($C$50="NEIN","NEIN",IF(CS102&lt;CR102,"JA","NEIN"))</f>
        <v>NEIN</v>
      </c>
      <c r="CR102" s="121">
        <f>CO102*$C$46</f>
        <v>4460.4792268386554</v>
      </c>
      <c r="CS102" s="121">
        <f t="shared" si="15"/>
        <v>1422.3690830395699</v>
      </c>
      <c r="CT102" s="201">
        <f>IF($C$50="NEIN",CR102,IF(CQ102="NEIN",CR102,CS102))</f>
        <v>4460.4792268386554</v>
      </c>
      <c r="CU102" s="149"/>
      <c r="CV102" s="202">
        <f t="shared" si="80"/>
        <v>9984</v>
      </c>
      <c r="CW102" s="134">
        <f>CV102*$C$57</f>
        <v>0</v>
      </c>
      <c r="CX102" s="142">
        <f t="shared" si="81"/>
        <v>14926</v>
      </c>
      <c r="CY102" s="134">
        <f>CX102*$C$57</f>
        <v>0</v>
      </c>
      <c r="CZ102" s="142">
        <f t="shared" si="82"/>
        <v>58596</v>
      </c>
      <c r="DA102" s="143">
        <f>CZ102*$C$57</f>
        <v>0</v>
      </c>
      <c r="DB102" s="165">
        <f t="shared" si="120"/>
        <v>65610.515019418002</v>
      </c>
      <c r="DC102" s="140">
        <f t="shared" si="50"/>
        <v>0.42</v>
      </c>
      <c r="DD102" s="121" t="str">
        <f>IF($C$50="NEIN","NEIN",IF(DF102&lt;DE102,"JA","NEIN"))</f>
        <v>NEIN</v>
      </c>
      <c r="DE102" s="121">
        <f>DB102*$C$46</f>
        <v>17304.773336371498</v>
      </c>
      <c r="DF102" s="121">
        <f t="shared" si="17"/>
        <v>18288.886308155561</v>
      </c>
      <c r="DG102" s="201">
        <f>IF($C$50="NEIN",DE102,IF(DD102="NEIN",DE102,DF102))</f>
        <v>17304.773336371498</v>
      </c>
      <c r="DH102" s="159"/>
      <c r="DI102" s="74"/>
      <c r="DJ102" s="74"/>
      <c r="DK102" s="128"/>
      <c r="DL102" s="128"/>
      <c r="DM102" s="128"/>
      <c r="DN102" s="74"/>
      <c r="DO102" s="28">
        <f t="shared" si="83"/>
        <v>2043</v>
      </c>
      <c r="DP102" s="17">
        <f>IF($C$13+$C$10&gt;=DO102,-AG102,IF(DO102=$C$13+$C$10+1,$EK$93,0))</f>
        <v>0</v>
      </c>
      <c r="DQ102" s="17">
        <f t="shared" si="84"/>
        <v>612626.17029645096</v>
      </c>
      <c r="DR102" s="17">
        <f t="shared" si="85"/>
        <v>1087907.3219482789</v>
      </c>
      <c r="DS102" s="17">
        <f t="shared" si="51"/>
        <v>18314.374620073017</v>
      </c>
      <c r="DT102" s="17">
        <f t="shared" si="18"/>
        <v>1183657.2153281367</v>
      </c>
      <c r="DU102" s="17">
        <f t="shared" si="86"/>
        <v>77435.518759784754</v>
      </c>
      <c r="DV102" s="33">
        <f t="shared" si="19"/>
        <v>542.04863131849243</v>
      </c>
      <c r="DW102" s="32">
        <f t="shared" si="20"/>
        <v>23673.144306562735</v>
      </c>
      <c r="DX102" s="17">
        <f t="shared" si="87"/>
        <v>0</v>
      </c>
      <c r="DY102" s="17">
        <f t="shared" si="88"/>
        <v>0</v>
      </c>
      <c r="DZ102" s="17">
        <f t="shared" si="21"/>
        <v>0</v>
      </c>
      <c r="EA102" s="17">
        <f t="shared" si="53"/>
        <v>4159.390517599144</v>
      </c>
      <c r="EB102" s="15">
        <f t="shared" si="54"/>
        <v>19513.753788963593</v>
      </c>
      <c r="EC102" s="15">
        <f>IF(DP102=0,EC101,IF(DO102&lt;=$EK$88+$C$10,ABS(DP102)+EC101,EC101))</f>
        <v>430891.77838569693</v>
      </c>
      <c r="ED102" s="15">
        <f t="shared" si="89"/>
        <v>39769.530751262166</v>
      </c>
      <c r="EE102" s="16">
        <f t="shared" si="90"/>
        <v>1183657.2153281367</v>
      </c>
      <c r="EF102" s="15">
        <f t="shared" si="22"/>
        <v>18314.374620073017</v>
      </c>
      <c r="EG102" s="15">
        <f t="shared" si="91"/>
        <v>181734.39191075414</v>
      </c>
      <c r="EH102" s="16"/>
      <c r="EI102" s="16"/>
      <c r="EJ102"/>
      <c r="EK102"/>
      <c r="EL102"/>
      <c r="EM102" s="28">
        <f t="shared" si="92"/>
        <v>2043</v>
      </c>
      <c r="EN102" s="29">
        <f>IF($C$13+$C$10&gt;=EM102,-(AG102),IF(EM102=$C$13+$C$10+1,$FB$93,0))</f>
        <v>0</v>
      </c>
      <c r="EO102" s="30">
        <f t="shared" si="93"/>
        <v>430891.77838569693</v>
      </c>
      <c r="EP102" s="30">
        <f t="shared" si="94"/>
        <v>1161157.4229819803</v>
      </c>
      <c r="EQ102" s="30">
        <f t="shared" si="56"/>
        <v>0</v>
      </c>
      <c r="ER102" s="25">
        <f t="shared" si="23"/>
        <v>1242438.4425907189</v>
      </c>
      <c r="ES102" s="30">
        <f t="shared" si="95"/>
        <v>81281.019608738599</v>
      </c>
      <c r="ET102" s="26">
        <f t="shared" si="24"/>
        <v>568.96713726117025</v>
      </c>
      <c r="EU102" s="30">
        <f t="shared" si="96"/>
        <v>568.96713726117025</v>
      </c>
      <c r="EV102" s="25">
        <f t="shared" si="25"/>
        <v>0</v>
      </c>
      <c r="EW102" s="31">
        <f t="shared" si="97"/>
        <v>5680.8266494351501</v>
      </c>
      <c r="EX102" s="27">
        <f>IF(EM102=0,EX101,IF(EM102&lt;=$FB$88+$C$10,ABS(EN102)+EX101,EX101))</f>
        <v>430891.77838569693</v>
      </c>
      <c r="EY102" s="15"/>
      <c r="EZ102"/>
      <c r="FA102"/>
      <c r="FB102"/>
      <c r="FC102" s="74"/>
      <c r="FD102" s="74"/>
      <c r="FE102" s="74"/>
      <c r="FF102" s="74"/>
      <c r="FG102" s="74"/>
      <c r="FH102" s="74"/>
      <c r="FI102" s="74"/>
      <c r="FJ102" s="28">
        <f t="shared" si="98"/>
        <v>2043</v>
      </c>
      <c r="FK102" s="65">
        <f>IF($C$13+$C$10&gt;=FJ102,-AG102,IF(FJ102=$C$13+$C$10+1,$EK$93,0))</f>
        <v>0</v>
      </c>
      <c r="FL102" s="65">
        <f t="shared" si="99"/>
        <v>74118.803999999975</v>
      </c>
      <c r="FM102" s="65">
        <f t="shared" si="100"/>
        <v>200754.38240778414</v>
      </c>
      <c r="FN102" s="65">
        <f t="shared" si="59"/>
        <v>0</v>
      </c>
      <c r="FO102" s="65">
        <f t="shared" si="26"/>
        <v>214807.18917632903</v>
      </c>
      <c r="FP102" s="65">
        <f t="shared" si="101"/>
        <v>14052.806768544891</v>
      </c>
      <c r="FQ102" s="59">
        <f t="shared" si="27"/>
        <v>98.369647379814211</v>
      </c>
      <c r="FR102" s="60">
        <f t="shared" si="28"/>
        <v>4296.1437835265806</v>
      </c>
      <c r="FS102" s="65">
        <f t="shared" si="102"/>
        <v>0</v>
      </c>
      <c r="FT102" s="65">
        <f t="shared" si="103"/>
        <v>0</v>
      </c>
      <c r="FU102" s="65">
        <f t="shared" si="29"/>
        <v>0</v>
      </c>
      <c r="FV102" s="65">
        <f t="shared" si="61"/>
        <v>581.91179603359478</v>
      </c>
      <c r="FW102" s="61">
        <f t="shared" si="62"/>
        <v>3714.2319874929858</v>
      </c>
      <c r="FX102" s="61">
        <f>IF(AND(FJ102&lt;=$GF$88+$C$10,FV101&lt;=0,FN102&gt;0),(FJ102-$C$10+1)*AG102+$GF$80,FX101)</f>
        <v>73074.599999999977</v>
      </c>
      <c r="FY102" s="62">
        <f t="shared" si="63"/>
        <v>2.7544327696237279</v>
      </c>
      <c r="FZ102" s="63">
        <f t="shared" si="104"/>
        <v>214807.18917632903</v>
      </c>
      <c r="GA102" s="64">
        <f t="shared" si="105"/>
        <v>4097.0282124037585</v>
      </c>
      <c r="GB102" s="64">
        <f t="shared" si="106"/>
        <v>55761.345224826684</v>
      </c>
      <c r="GC102" s="66">
        <f t="shared" si="30"/>
        <v>0</v>
      </c>
      <c r="GD102" s="64">
        <f t="shared" si="107"/>
        <v>1580.6039999999994</v>
      </c>
      <c r="GE102"/>
      <c r="GF102"/>
      <c r="GG102" s="74"/>
      <c r="GH102" s="74"/>
      <c r="GI102" s="28">
        <f t="shared" si="108"/>
        <v>2043</v>
      </c>
      <c r="GJ102" s="9">
        <f>IF($GX$88+$C$10&gt;=GI102,-AG102,IF(GI102=$GX$88+$C$10+1,$FB$93,0))</f>
        <v>0</v>
      </c>
      <c r="GK102" s="5">
        <f t="shared" si="109"/>
        <v>406054.0733981274</v>
      </c>
      <c r="GL102" s="5">
        <f t="shared" si="110"/>
        <v>946079.1288588203</v>
      </c>
      <c r="GM102" s="35">
        <f t="shared" si="65"/>
        <v>3471.8891277624302</v>
      </c>
      <c r="GN102" s="4">
        <f t="shared" si="31"/>
        <v>1016019.5892456436</v>
      </c>
      <c r="GO102" s="5">
        <f t="shared" si="111"/>
        <v>66468.571259060875</v>
      </c>
      <c r="GP102" s="5">
        <f t="shared" si="32"/>
        <v>465.27999881342549</v>
      </c>
      <c r="GQ102" s="5">
        <f t="shared" si="112"/>
        <v>465.27999881342549</v>
      </c>
      <c r="GR102" s="4">
        <f t="shared" si="33"/>
        <v>85.902319780928678</v>
      </c>
      <c r="GS102" s="7">
        <f t="shared" si="113"/>
        <v>4269.7586109326094</v>
      </c>
      <c r="GT102" s="107" t="e">
        <f>IF($DG$62=0,EX102,IF(GI102-$C$10+1&lt;=$GF$98,0,#REF!-FX102))</f>
        <v>#REF!</v>
      </c>
      <c r="GU102"/>
      <c r="GV102"/>
      <c r="GW102"/>
      <c r="GX102"/>
      <c r="GY102" s="74"/>
      <c r="GZ102" s="74"/>
      <c r="HA102" s="74"/>
      <c r="HB102" s="74"/>
      <c r="HC102" s="74"/>
      <c r="HD102" s="74"/>
    </row>
    <row r="103" spans="1:212" ht="16.149999999999999" thickBot="1" x14ac:dyDescent="0.55000000000000004">
      <c r="AB103" s="117" t="str">
        <f t="shared" si="34"/>
        <v/>
      </c>
      <c r="AC103" s="117" t="str">
        <f t="shared" si="35"/>
        <v/>
      </c>
      <c r="AD103" s="299">
        <f>IF($C$20="NEIN",$C$21,IF($C$22="JA",'HISTORISCHE RENDITEN'!E27,'HISTORISCHE RENDITEN'!D27))</f>
        <v>-0.17829999999999999</v>
      </c>
      <c r="AE103" s="129">
        <f t="shared" ref="AE103:AE118" si="122">AE102+1</f>
        <v>51</v>
      </c>
      <c r="AF103" s="120">
        <f t="shared" si="37"/>
        <v>2044</v>
      </c>
      <c r="AG103" s="122">
        <f t="shared" si="0"/>
        <v>0</v>
      </c>
      <c r="AH103" s="124">
        <f t="shared" si="38"/>
        <v>430891.77838569693</v>
      </c>
      <c r="AI103" s="296">
        <f t="shared" si="114"/>
        <v>1793495.8140726408</v>
      </c>
      <c r="AJ103" s="123">
        <f t="shared" si="67"/>
        <v>0</v>
      </c>
      <c r="AK103" s="124">
        <f t="shared" si="68"/>
        <v>1473715.5104234889</v>
      </c>
      <c r="AL103" s="122">
        <f t="shared" si="1"/>
        <v>-319780.30364915193</v>
      </c>
      <c r="AM103" s="122" t="b">
        <f>IF($C$25="Ausschütter",0,IF(AL103&gt;=0,(AI103+AJ103)*$C$48*0.7))</f>
        <v>0</v>
      </c>
      <c r="AN103" s="122">
        <f t="shared" si="2"/>
        <v>0</v>
      </c>
      <c r="AO103" s="122">
        <f t="shared" si="39"/>
        <v>0</v>
      </c>
      <c r="AP103" s="122">
        <f t="shared" si="69"/>
        <v>6616.4757208313358</v>
      </c>
      <c r="AQ103" s="122">
        <f>IF($C$25="AUSSCHÜTTER",0,IF(AO103*$C$46*$C$49&lt;=$C$47,0,AO103*$C$46*$C$49))</f>
        <v>0</v>
      </c>
      <c r="AR103" s="122">
        <f>IF(AO102*$C$49&gt;$C$47,(AN103)*$C$49*$C$46,IF((AO102+AN103)*$C$49&gt;$C$47,((AO102+AN103)*$C$49-$C$47)*$C$46,0))</f>
        <v>0</v>
      </c>
      <c r="AS103" s="122">
        <f t="shared" si="70"/>
        <v>0</v>
      </c>
      <c r="AT103" s="122">
        <f t="shared" si="40"/>
        <v>430891.77838569693</v>
      </c>
      <c r="AU103" s="122">
        <f t="shared" si="115"/>
        <v>0</v>
      </c>
      <c r="AV103" s="122">
        <f t="shared" si="71"/>
        <v>1473715.5104234889</v>
      </c>
      <c r="AW103" s="122">
        <f t="shared" si="41"/>
        <v>0</v>
      </c>
      <c r="AX103" s="130">
        <f t="shared" si="42"/>
        <v>0</v>
      </c>
      <c r="AY103" s="82">
        <f>IF(AF103&lt;$C$11,$C$15*(1+$C$19)^(AF103-$C$10),0)</f>
        <v>0</v>
      </c>
      <c r="AZ103" s="82">
        <f>$C$14*(1+$C$37)^(AF103-$C$10)</f>
        <v>31762.992285352782</v>
      </c>
      <c r="BA103" s="165">
        <f>IF(AF103&lt;$C$11,0,MAX($C$38*AI103,AZ103))</f>
        <v>53804.874422179222</v>
      </c>
      <c r="BB103" s="82">
        <f>IF(AF103&lt;$C$11,0,MAX($C$38*AI103,AZ103))</f>
        <v>53804.874422179222</v>
      </c>
      <c r="BC103" s="136">
        <f>IF($C$39="JA",CT103,DG103)</f>
        <v>14191.03562884977</v>
      </c>
      <c r="BD103" s="82">
        <f t="shared" si="3"/>
        <v>0</v>
      </c>
      <c r="BE103" s="82">
        <f>IF(AF103&lt;($C$8+$C$30),0,$C$29*12*(1-$C$31))</f>
        <v>0</v>
      </c>
      <c r="BF103" s="82">
        <f>IF(AF103&lt;($C$8+$C$34),0,$C$33*12*(1-$C$35))</f>
        <v>0</v>
      </c>
      <c r="BG103" s="82">
        <f>IF(AF103&lt;$C$11,0,IF(AI103&lt;0,$C$42*(1+$C$44)^(AF103-$C$10),IF(((AL103+BE103+BF103)*$C$41)&lt;$C$42*(1+$C$44)^(AF103-$C$10),$C$42*(1+$C$44)^(AF103-$C$10),IF(((AL103+BE103+BF103)*$C$41)&lt;$C$43*(1+$C$44)^(AF103-$C$10),(AL103+BE103+BF103)*$C$41,IF(((AL103+BE103+BF103+BB103)*$C$41)&lt;$C$43*(1+$C$44)^(AF103-$C$10),((AL103+BE103+BF103+BB103)*$C$41),$C$43*(1+$C$44)^(AF103-$C$10))))))</f>
        <v>3380.1051710636939</v>
      </c>
      <c r="BH103" s="82">
        <f t="shared" si="72"/>
        <v>71376.015222092683</v>
      </c>
      <c r="BI103" s="242">
        <f t="shared" si="73"/>
        <v>1473715.5104234889</v>
      </c>
      <c r="BJ103" s="217">
        <f t="shared" si="74"/>
        <v>1402339.4952013963</v>
      </c>
      <c r="BK103" s="118"/>
      <c r="BL103" s="219">
        <f t="shared" si="4"/>
        <v>7</v>
      </c>
      <c r="BM103" s="220">
        <f t="shared" si="5"/>
        <v>24</v>
      </c>
      <c r="BN103" s="220">
        <f t="shared" si="121"/>
        <v>0</v>
      </c>
      <c r="BO103" s="221">
        <f t="shared" si="7"/>
        <v>0</v>
      </c>
      <c r="BP103" s="221">
        <f t="shared" si="8"/>
        <v>0</v>
      </c>
      <c r="BQ103" s="222">
        <f t="shared" si="9"/>
        <v>0</v>
      </c>
      <c r="BR103" s="223">
        <f>IF(BM103&lt;$C$11-$C$10+1,0,IF(BL103&lt;=$C$13,VLOOKUP(BL103,$BN$80:$BQ$156,2,FALSE)-BS103,0))</f>
        <v>20484.549522454123</v>
      </c>
      <c r="BS103" s="223">
        <f>IF(BM103&lt;$C$11-$C$10+1,0,IF(BL103&lt;=$C$13,VLOOKUP(BL103,$BN$80:$BQ$156,3,FALSE),0))</f>
        <v>25701.192855521811</v>
      </c>
      <c r="BT103" s="222">
        <f>IF(BM103&lt;$C$11-$C$10+1,0,IF(BL103&lt;=$C$13,VLOOKUP(BL103,$BN$80:$BQ$156,4,FALSE),0))</f>
        <v>0.79702719004550371</v>
      </c>
      <c r="BU103" s="223">
        <f t="shared" si="43"/>
        <v>0</v>
      </c>
      <c r="BV103" s="223">
        <f t="shared" si="44"/>
        <v>0</v>
      </c>
      <c r="BW103" s="223">
        <f t="shared" si="118"/>
        <v>0</v>
      </c>
      <c r="BX103" s="223">
        <f>IF(AND(BS103&lt;=0,BN103=0),MIN((MAX($BZ$80:$BZ$156)-SUM($BX$80:BX102)),CA103),IF(BS103&lt;CA103,BS103,CA103))</f>
        <v>25701.192855521811</v>
      </c>
      <c r="BY103" s="222">
        <f>IF(BN103&gt;0,0,IF(AND(BN103=0,BT103&lt;=0),100%,((BW102*(AVERAGE($BT$80:BT102))+(BR103*BT103))/(BR103+BW102+BS103+BV102))))</f>
        <v>0.35350179740783211</v>
      </c>
      <c r="BZ103" s="139">
        <f t="shared" si="46"/>
        <v>430891.77838569693</v>
      </c>
      <c r="CA103" s="122">
        <f t="shared" si="10"/>
        <v>53804.874422179222</v>
      </c>
      <c r="CB103" s="181">
        <f t="shared" si="47"/>
        <v>0.35350179740783211</v>
      </c>
      <c r="CC103" s="122">
        <f t="shared" si="48"/>
        <v>339108.94102161779</v>
      </c>
      <c r="CD103" s="182">
        <f t="shared" si="119"/>
        <v>25701.192855521811</v>
      </c>
      <c r="CE103" s="122">
        <f t="shared" si="75"/>
        <v>183038.34013665447</v>
      </c>
      <c r="CF103" s="122">
        <f t="shared" si="76"/>
        <v>247853.43824904246</v>
      </c>
      <c r="CG103" s="182" t="str">
        <f t="shared" si="12"/>
        <v>JA</v>
      </c>
      <c r="CH103" s="183">
        <f t="shared" si="13"/>
        <v>0.35350179740783211</v>
      </c>
      <c r="CI103" s="142">
        <f t="shared" si="77"/>
        <v>9984</v>
      </c>
      <c r="CJ103" s="134">
        <f>CI103*$C$57</f>
        <v>0</v>
      </c>
      <c r="CK103" s="142">
        <f t="shared" si="78"/>
        <v>14926</v>
      </c>
      <c r="CL103" s="134">
        <f>CK103*$C$57</f>
        <v>0</v>
      </c>
      <c r="CM103" s="142">
        <f t="shared" si="79"/>
        <v>58596</v>
      </c>
      <c r="CN103" s="134">
        <f>CM103*$C$57</f>
        <v>0</v>
      </c>
      <c r="CO103" s="132">
        <f t="shared" si="117"/>
        <v>19020.119817543047</v>
      </c>
      <c r="CP103" s="140">
        <f t="shared" si="14"/>
        <v>0.25687523625275355</v>
      </c>
      <c r="CQ103" s="121" t="str">
        <f>IF($C$50="NEIN","NEIN",IF(CS103&lt;CR103,"JA","NEIN"))</f>
        <v>NEIN</v>
      </c>
      <c r="CR103" s="121">
        <f>CO103*$C$46</f>
        <v>5016.5566018769787</v>
      </c>
      <c r="CS103" s="121">
        <f t="shared" si="15"/>
        <v>1954.2019392641355</v>
      </c>
      <c r="CT103" s="201">
        <f>IF($C$50="NEIN",CR103,IF(CQ103="NEIN",CR103,CS103))</f>
        <v>5016.5566018769787</v>
      </c>
      <c r="CU103" s="149"/>
      <c r="CV103" s="202">
        <f t="shared" si="80"/>
        <v>9984</v>
      </c>
      <c r="CW103" s="134">
        <f>CV103*$C$57</f>
        <v>0</v>
      </c>
      <c r="CX103" s="142">
        <f t="shared" si="81"/>
        <v>14926</v>
      </c>
      <c r="CY103" s="134">
        <f>CX103*$C$57</f>
        <v>0</v>
      </c>
      <c r="CZ103" s="142">
        <f t="shared" si="82"/>
        <v>58596</v>
      </c>
      <c r="DA103" s="143">
        <f>CZ103*$C$57</f>
        <v>0</v>
      </c>
      <c r="DB103" s="165">
        <f t="shared" si="120"/>
        <v>53804.874422179222</v>
      </c>
      <c r="DC103" s="140">
        <f t="shared" si="50"/>
        <v>0.40025182953955252</v>
      </c>
      <c r="DD103" s="121" t="str">
        <f>IF($C$50="NEIN","NEIN",IF(DF103&lt;DE103,"JA","NEIN"))</f>
        <v>NEIN</v>
      </c>
      <c r="DE103" s="121">
        <f>DB103*$C$46</f>
        <v>14191.03562884977</v>
      </c>
      <c r="DF103" s="121">
        <f t="shared" si="17"/>
        <v>13377.833701815902</v>
      </c>
      <c r="DG103" s="201">
        <f>IF($C$50="NEIN",DE103,IF(DD103="NEIN",DE103,DF103))</f>
        <v>14191.03562884977</v>
      </c>
      <c r="DH103" s="159"/>
      <c r="DI103" s="74"/>
      <c r="DJ103" s="74"/>
      <c r="DK103" s="128"/>
      <c r="DL103" s="128"/>
      <c r="DM103" s="128"/>
      <c r="DN103" s="74"/>
      <c r="DO103" s="28">
        <f t="shared" si="83"/>
        <v>2044</v>
      </c>
      <c r="DP103" s="17">
        <f>IF($C$13+$C$10&gt;=DO103,-AG103,IF(DO103=$C$13+$C$10+1,$EK$93,0))</f>
        <v>0</v>
      </c>
      <c r="DQ103" s="17">
        <f t="shared" si="84"/>
        <v>632139.9240854145</v>
      </c>
      <c r="DR103" s="17">
        <f t="shared" si="85"/>
        <v>1159984.0710215739</v>
      </c>
      <c r="DS103" s="17">
        <f t="shared" si="51"/>
        <v>19513.753788963593</v>
      </c>
      <c r="DT103" s="17">
        <f t="shared" si="18"/>
        <v>1262062.6725472752</v>
      </c>
      <c r="DU103" s="17">
        <f t="shared" si="86"/>
        <v>82564.847736737691</v>
      </c>
      <c r="DV103" s="33">
        <f t="shared" si="19"/>
        <v>577.9539341571633</v>
      </c>
      <c r="DW103" s="32">
        <f t="shared" si="20"/>
        <v>25241.253450945504</v>
      </c>
      <c r="DX103" s="17">
        <f t="shared" si="87"/>
        <v>0</v>
      </c>
      <c r="DY103" s="17">
        <f t="shared" si="88"/>
        <v>0</v>
      </c>
      <c r="DZ103" s="17">
        <f t="shared" si="21"/>
        <v>0</v>
      </c>
      <c r="EA103" s="17">
        <f t="shared" si="53"/>
        <v>4448.9026683808133</v>
      </c>
      <c r="EB103" s="15">
        <f t="shared" si="54"/>
        <v>20792.350782564688</v>
      </c>
      <c r="EC103" s="15">
        <f>IF(DP103=0,EC102,IF(DO103&lt;=$EK$88+$C$10,ABS(DP103)+EC102,EC102))</f>
        <v>430891.77838569693</v>
      </c>
      <c r="ED103" s="15">
        <f t="shared" si="89"/>
        <v>44218.433419642977</v>
      </c>
      <c r="EE103" s="16">
        <f t="shared" si="90"/>
        <v>1262062.6725472752</v>
      </c>
      <c r="EF103" s="15">
        <f t="shared" si="22"/>
        <v>19513.753788963593</v>
      </c>
      <c r="EG103" s="15">
        <f t="shared" si="91"/>
        <v>201248.14569971774</v>
      </c>
      <c r="EH103" s="16"/>
      <c r="EI103" s="16"/>
      <c r="EJ103"/>
      <c r="EK103"/>
      <c r="EL103"/>
      <c r="EM103" s="28">
        <f t="shared" si="92"/>
        <v>2044</v>
      </c>
      <c r="EN103" s="29">
        <f>IF($C$13+$C$10&gt;=EM103,-(AG103),IF(EM103=$C$13+$C$10+1,$FB$93,0))</f>
        <v>0</v>
      </c>
      <c r="EO103" s="30">
        <f t="shared" si="93"/>
        <v>430891.77838569693</v>
      </c>
      <c r="EP103" s="30">
        <f t="shared" si="94"/>
        <v>1242438.4425907189</v>
      </c>
      <c r="EQ103" s="30">
        <f t="shared" si="56"/>
        <v>0</v>
      </c>
      <c r="ER103" s="25">
        <f t="shared" si="23"/>
        <v>1329409.1335720692</v>
      </c>
      <c r="ES103" s="30">
        <f t="shared" si="95"/>
        <v>86970.690981350373</v>
      </c>
      <c r="ET103" s="26">
        <f t="shared" si="24"/>
        <v>608.79483686945218</v>
      </c>
      <c r="EU103" s="30">
        <f t="shared" si="96"/>
        <v>608.79483686945218</v>
      </c>
      <c r="EV103" s="25">
        <f t="shared" si="25"/>
        <v>0</v>
      </c>
      <c r="EW103" s="31">
        <f t="shared" si="97"/>
        <v>6289.6214863046025</v>
      </c>
      <c r="EX103" s="27">
        <f>IF(EM103=0,EX102,IF(EM103&lt;=$FB$88+$C$10,ABS(EN103)+EX102,EX102))</f>
        <v>430891.77838569693</v>
      </c>
      <c r="EY103" s="15"/>
      <c r="EZ103"/>
      <c r="FA103"/>
      <c r="FB103"/>
      <c r="FC103" s="74"/>
      <c r="FD103" s="74"/>
      <c r="FE103" s="74"/>
      <c r="FF103" s="74"/>
      <c r="FG103" s="74"/>
      <c r="FH103" s="74"/>
      <c r="FI103" s="74"/>
      <c r="FJ103" s="28">
        <f t="shared" si="98"/>
        <v>2044</v>
      </c>
      <c r="FK103" s="65">
        <f>IF($C$13+$C$10&gt;=FJ103,-AG103,IF(FJ103=$C$13+$C$10+1,$EK$93,0))</f>
        <v>0</v>
      </c>
      <c r="FL103" s="65">
        <f t="shared" si="99"/>
        <v>74118.803999999975</v>
      </c>
      <c r="FM103" s="65">
        <f t="shared" si="100"/>
        <v>210511.04539280245</v>
      </c>
      <c r="FN103" s="65">
        <f t="shared" si="59"/>
        <v>0</v>
      </c>
      <c r="FO103" s="65">
        <f t="shared" si="26"/>
        <v>225246.81857029864</v>
      </c>
      <c r="FP103" s="65">
        <f t="shared" si="101"/>
        <v>14735.773177496187</v>
      </c>
      <c r="FQ103" s="59">
        <f t="shared" si="27"/>
        <v>103.15041224247319</v>
      </c>
      <c r="FR103" s="60">
        <f t="shared" si="28"/>
        <v>4504.9363714059727</v>
      </c>
      <c r="FS103" s="65">
        <f t="shared" si="102"/>
        <v>0</v>
      </c>
      <c r="FT103" s="65">
        <f t="shared" si="103"/>
        <v>0</v>
      </c>
      <c r="FU103" s="65">
        <f t="shared" si="29"/>
        <v>0</v>
      </c>
      <c r="FV103" s="65">
        <f t="shared" si="61"/>
        <v>620.46012757082769</v>
      </c>
      <c r="FW103" s="61">
        <f t="shared" si="62"/>
        <v>3884.4762438351449</v>
      </c>
      <c r="FX103" s="61">
        <f>IF(AND(FJ103&lt;=$GF$88+$C$10,FV102&lt;=0,FN103&gt;0),(FJ103-$C$10+1)*AG103+$GF$80,FX102)</f>
        <v>73074.599999999977</v>
      </c>
      <c r="FY103" s="62">
        <f t="shared" si="63"/>
        <v>2.9368982022274417</v>
      </c>
      <c r="FZ103" s="63">
        <f t="shared" si="104"/>
        <v>225246.81857029864</v>
      </c>
      <c r="GA103" s="64">
        <f t="shared" si="105"/>
        <v>4296.1437835265806</v>
      </c>
      <c r="GB103" s="64">
        <f t="shared" si="106"/>
        <v>60057.489008353266</v>
      </c>
      <c r="GC103" s="66">
        <f t="shared" si="30"/>
        <v>0</v>
      </c>
      <c r="GD103" s="64">
        <f t="shared" si="107"/>
        <v>1580.6039999999994</v>
      </c>
      <c r="GE103"/>
      <c r="GF103"/>
      <c r="GG103" s="74"/>
      <c r="GH103" s="74"/>
      <c r="GI103" s="28">
        <f t="shared" si="108"/>
        <v>2044</v>
      </c>
      <c r="GJ103" s="9">
        <f>IF($GX$88+$C$10&gt;=GI103,-AG103,IF(GI103=$GX$88+$C$10+1,$FB$93,0))</f>
        <v>0</v>
      </c>
      <c r="GK103" s="5">
        <f t="shared" si="109"/>
        <v>409682.40306583943</v>
      </c>
      <c r="GL103" s="5">
        <f t="shared" si="110"/>
        <v>1016019.5892456436</v>
      </c>
      <c r="GM103" s="35">
        <f t="shared" si="65"/>
        <v>3628.329667712057</v>
      </c>
      <c r="GN103" s="4">
        <f t="shared" si="31"/>
        <v>1091023.2732372906</v>
      </c>
      <c r="GO103" s="5">
        <f t="shared" si="111"/>
        <v>71375.35432393488</v>
      </c>
      <c r="GP103" s="5">
        <f t="shared" si="32"/>
        <v>499.62748026754423</v>
      </c>
      <c r="GQ103" s="5">
        <f t="shared" si="112"/>
        <v>499.62748026754423</v>
      </c>
      <c r="GR103" s="4">
        <f t="shared" si="33"/>
        <v>92.243723544395337</v>
      </c>
      <c r="GS103" s="7">
        <f t="shared" si="113"/>
        <v>4769.3860912001537</v>
      </c>
      <c r="GT103" s="107" t="e">
        <f>IF($DG$62=0,EX103,IF(GI103-$C$10+1&lt;=$GF$98,0,#REF!-FX103))</f>
        <v>#REF!</v>
      </c>
      <c r="GU103"/>
      <c r="GV103"/>
      <c r="GW103"/>
      <c r="GX103"/>
      <c r="GY103" s="74"/>
      <c r="GZ103" s="74"/>
      <c r="HA103" s="74"/>
      <c r="HB103" s="74"/>
      <c r="HC103" s="74"/>
      <c r="HD103" s="74"/>
    </row>
    <row r="104" spans="1:212" ht="16.149999999999999" thickBot="1" x14ac:dyDescent="0.55000000000000004">
      <c r="AB104" s="117" t="str">
        <f t="shared" si="34"/>
        <v/>
      </c>
      <c r="AC104" s="117" t="str">
        <f t="shared" si="35"/>
        <v/>
      </c>
      <c r="AD104" s="299">
        <f>IF($C$20="NEIN",$C$21,IF($C$22="JA",'HISTORISCHE RENDITEN'!E28,'HISTORISCHE RENDITEN'!D28))</f>
        <v>-0.21059999999999998</v>
      </c>
      <c r="AE104" s="129">
        <f t="shared" si="122"/>
        <v>52</v>
      </c>
      <c r="AF104" s="120">
        <f t="shared" si="37"/>
        <v>2045</v>
      </c>
      <c r="AG104" s="122">
        <f t="shared" si="0"/>
        <v>0</v>
      </c>
      <c r="AH104" s="124">
        <f t="shared" si="38"/>
        <v>430891.77838569693</v>
      </c>
      <c r="AI104" s="296">
        <f t="shared" si="114"/>
        <v>1402339.4952013963</v>
      </c>
      <c r="AJ104" s="123">
        <f t="shared" si="67"/>
        <v>0</v>
      </c>
      <c r="AK104" s="124">
        <f t="shared" si="68"/>
        <v>1107006.7975119823</v>
      </c>
      <c r="AL104" s="122">
        <f t="shared" si="1"/>
        <v>-295332.69768941402</v>
      </c>
      <c r="AM104" s="122" t="b">
        <f>IF($C$25="Ausschütter",0,IF(AL104&gt;=0,(AI104+AJ104)*$C$48*0.7))</f>
        <v>0</v>
      </c>
      <c r="AN104" s="122">
        <f t="shared" si="2"/>
        <v>0</v>
      </c>
      <c r="AO104" s="122">
        <f t="shared" si="39"/>
        <v>0</v>
      </c>
      <c r="AP104" s="122">
        <f t="shared" si="69"/>
        <v>6616.4757208313358</v>
      </c>
      <c r="AQ104" s="122">
        <f>IF($C$25="AUSSCHÜTTER",0,IF(AO104*$C$46*$C$49&lt;=$C$47,0,AO104*$C$46*$C$49))</f>
        <v>0</v>
      </c>
      <c r="AR104" s="122">
        <f>IF(AO103*$C$49&gt;$C$47,(AN104)*$C$49*$C$46,IF((AO103+AN104)*$C$49&gt;$C$47,((AO103+AN104)*$C$49-$C$47)*$C$46,0))</f>
        <v>0</v>
      </c>
      <c r="AS104" s="122">
        <f t="shared" si="70"/>
        <v>0</v>
      </c>
      <c r="AT104" s="122">
        <f t="shared" si="40"/>
        <v>430891.77838569693</v>
      </c>
      <c r="AU104" s="122">
        <f t="shared" si="115"/>
        <v>0</v>
      </c>
      <c r="AV104" s="122">
        <f t="shared" si="71"/>
        <v>1107006.7975119823</v>
      </c>
      <c r="AW104" s="122">
        <f t="shared" si="41"/>
        <v>0</v>
      </c>
      <c r="AX104" s="130">
        <f t="shared" si="42"/>
        <v>0</v>
      </c>
      <c r="AY104" s="82">
        <f>IF(AF104&lt;$C$11,$C$15*(1+$C$19)^(AF104-$C$10),0)</f>
        <v>0</v>
      </c>
      <c r="AZ104" s="82">
        <f>$C$14*(1+$C$37)^(AF104-$C$10)</f>
        <v>32557.067092486599</v>
      </c>
      <c r="BA104" s="165">
        <f>IF(AF104&lt;$C$11,0,MAX($C$38*AI104,AZ104))</f>
        <v>42070.184856041888</v>
      </c>
      <c r="BB104" s="82">
        <f>IF(AF104&lt;$C$11,0,MAX($C$38*AI104,AZ104))</f>
        <v>42070.184856041888</v>
      </c>
      <c r="BC104" s="136">
        <f>IF($C$39="JA",CT104,DG104)</f>
        <v>11096.011255781048</v>
      </c>
      <c r="BD104" s="82">
        <f t="shared" si="3"/>
        <v>0</v>
      </c>
      <c r="BE104" s="82">
        <f>IF(AF104&lt;($C$8+$C$30),0,$C$29*12*(1-$C$31))</f>
        <v>0</v>
      </c>
      <c r="BF104" s="82">
        <f>IF(AF104&lt;($C$8+$C$34),0,$C$33*12*(1-$C$35))</f>
        <v>0</v>
      </c>
      <c r="BG104" s="82">
        <f>IF(AF104&lt;$C$11,0,IF(AI104&lt;0,$C$42*(1+$C$44)^(AF104-$C$10),IF(((AL104+BE104+BF104)*$C$41)&lt;$C$42*(1+$C$44)^(AF104-$C$10),$C$42*(1+$C$44)^(AF104-$C$10),IF(((AL104+BE104+BF104)*$C$41)&lt;$C$43*(1+$C$44)^(AF104-$C$10),(AL104+BE104+BF104)*$C$41,IF(((AL104+BE104+BF104+BB104)*$C$41)&lt;$C$43*(1+$C$44)^(AF104-$C$10),((AL104+BE104+BF104+BB104)*$C$41),$C$43*(1+$C$44)^(AF104-$C$10))))))</f>
        <v>3430.8067486296486</v>
      </c>
      <c r="BH104" s="82">
        <f t="shared" si="72"/>
        <v>56597.002860452587</v>
      </c>
      <c r="BI104" s="242">
        <f t="shared" si="73"/>
        <v>1107006.7975119823</v>
      </c>
      <c r="BJ104" s="217">
        <f t="shared" si="74"/>
        <v>1050409.7946515298</v>
      </c>
      <c r="BK104" s="118"/>
      <c r="BL104" s="219">
        <f t="shared" si="4"/>
        <v>8</v>
      </c>
      <c r="BM104" s="220">
        <f t="shared" si="5"/>
        <v>25</v>
      </c>
      <c r="BN104" s="220">
        <f t="shared" si="121"/>
        <v>0</v>
      </c>
      <c r="BO104" s="221">
        <f t="shared" si="7"/>
        <v>0</v>
      </c>
      <c r="BP104" s="221">
        <f t="shared" si="8"/>
        <v>0</v>
      </c>
      <c r="BQ104" s="222">
        <f t="shared" si="9"/>
        <v>0</v>
      </c>
      <c r="BR104" s="223">
        <f>IF(BM104&lt;$C$11-$C$10+1,0,IF(BL104&lt;=$C$13,VLOOKUP(BL104,$BN$80:$BQ$156,2,FALSE)-BS104,0))</f>
        <v>24367.304441210636</v>
      </c>
      <c r="BS104" s="223">
        <f>IF(BM104&lt;$C$11-$C$10+1,0,IF(BL104&lt;=$C$13,VLOOKUP(BL104,$BN$80:$BQ$156,3,FALSE),0))</f>
        <v>25542.845507499896</v>
      </c>
      <c r="BT104" s="222">
        <f>IF(BM104&lt;$C$11-$C$10+1,0,IF(BL104&lt;=$C$13,VLOOKUP(BL104,$BN$80:$BQ$156,4,FALSE),0))</f>
        <v>0.95397767778284148</v>
      </c>
      <c r="BU104" s="223">
        <f t="shared" si="43"/>
        <v>7839.9650926686445</v>
      </c>
      <c r="BV104" s="223">
        <f t="shared" si="44"/>
        <v>0</v>
      </c>
      <c r="BW104" s="223">
        <f t="shared" si="118"/>
        <v>7839.9650926686445</v>
      </c>
      <c r="BX104" s="223">
        <f>IF(AND(BS104&lt;=0,BN104=0),MIN((MAX($BZ$80:$BZ$156)-SUM($BX$80:BX103)),CA104),IF(BS104&lt;CA104,BS104,CA104))</f>
        <v>25542.845507499896</v>
      </c>
      <c r="BY104" s="222">
        <f>IF(BN104&gt;0,0,IF(AND(BN104=0,BT104&lt;=0),100%,((BW103*(AVERAGE($BT$80:BT103))+(BR104*BT104))/(BR104+BW103+BS104+BV103))))</f>
        <v>0.46575425095981332</v>
      </c>
      <c r="BZ104" s="139">
        <f t="shared" si="46"/>
        <v>430891.77838569693</v>
      </c>
      <c r="CA104" s="122">
        <f t="shared" si="10"/>
        <v>42070.184856041888</v>
      </c>
      <c r="CB104" s="181">
        <f t="shared" si="47"/>
        <v>0.46575425095981332</v>
      </c>
      <c r="CC104" s="122">
        <f t="shared" si="48"/>
        <v>381179.12587765965</v>
      </c>
      <c r="CD104" s="182">
        <f t="shared" si="119"/>
        <v>25542.845507499896</v>
      </c>
      <c r="CE104" s="122">
        <f t="shared" si="75"/>
        <v>208581.18564415438</v>
      </c>
      <c r="CF104" s="122">
        <f t="shared" si="76"/>
        <v>222310.59274154255</v>
      </c>
      <c r="CG104" s="182" t="str">
        <f t="shared" si="12"/>
        <v>JA</v>
      </c>
      <c r="CH104" s="183">
        <f t="shared" si="13"/>
        <v>0.46575425095981332</v>
      </c>
      <c r="CI104" s="142">
        <f t="shared" si="77"/>
        <v>9984</v>
      </c>
      <c r="CJ104" s="134">
        <f>CI104*$C$57</f>
        <v>0</v>
      </c>
      <c r="CK104" s="142">
        <f t="shared" si="78"/>
        <v>14926</v>
      </c>
      <c r="CL104" s="134">
        <f>CK104*$C$57</f>
        <v>0</v>
      </c>
      <c r="CM104" s="142">
        <f t="shared" si="79"/>
        <v>58596</v>
      </c>
      <c r="CN104" s="134">
        <f>CM104*$C$57</f>
        <v>0</v>
      </c>
      <c r="CO104" s="132">
        <f t="shared" si="117"/>
        <v>19594.367435366672</v>
      </c>
      <c r="CP104" s="140">
        <f t="shared" si="14"/>
        <v>0.25924218315470576</v>
      </c>
      <c r="CQ104" s="121" t="str">
        <f>IF($C$50="NEIN","NEIN",IF(CS104&lt;CR104,"JA","NEIN"))</f>
        <v>NEIN</v>
      </c>
      <c r="CR104" s="121">
        <f>CO104*$C$46</f>
        <v>5168.0144110779593</v>
      </c>
      <c r="CS104" s="121">
        <f t="shared" si="15"/>
        <v>2102.2363152656708</v>
      </c>
      <c r="CT104" s="201">
        <f>IF($C$50="NEIN",CR104,IF(CQ104="NEIN",CR104,CS104))</f>
        <v>5168.0144110779593</v>
      </c>
      <c r="CU104" s="149"/>
      <c r="CV104" s="202">
        <f t="shared" si="80"/>
        <v>9984</v>
      </c>
      <c r="CW104" s="134">
        <f>CV104*$C$57</f>
        <v>0</v>
      </c>
      <c r="CX104" s="142">
        <f t="shared" si="81"/>
        <v>14926</v>
      </c>
      <c r="CY104" s="134">
        <f>CX104*$C$57</f>
        <v>0</v>
      </c>
      <c r="CZ104" s="142">
        <f t="shared" si="82"/>
        <v>58596</v>
      </c>
      <c r="DA104" s="143">
        <f>CZ104*$C$57</f>
        <v>0</v>
      </c>
      <c r="DB104" s="165">
        <f t="shared" si="120"/>
        <v>42070.184856041888</v>
      </c>
      <c r="DC104" s="140">
        <f t="shared" si="50"/>
        <v>0.3518835189852883</v>
      </c>
      <c r="DD104" s="121" t="str">
        <f>IF($C$50="NEIN","NEIN",IF(DF104&lt;DE104,"JA","NEIN"))</f>
        <v>NEIN</v>
      </c>
      <c r="DE104" s="121">
        <f>DB104*$C$46</f>
        <v>11096.011255781048</v>
      </c>
      <c r="DF104" s="121">
        <f t="shared" si="17"/>
        <v>8965.6913283985723</v>
      </c>
      <c r="DG104" s="201">
        <f>IF($C$50="NEIN",DE104,IF(DD104="NEIN",DE104,DF104))</f>
        <v>11096.011255781048</v>
      </c>
      <c r="DH104" s="159"/>
      <c r="DI104" s="74"/>
      <c r="DJ104" s="74"/>
      <c r="DK104" s="128"/>
      <c r="DL104" s="128"/>
      <c r="DM104" s="128"/>
      <c r="DN104" s="74"/>
      <c r="DO104" s="28">
        <f t="shared" si="83"/>
        <v>2045</v>
      </c>
      <c r="DP104" s="17">
        <f>IF($C$13+$C$10&gt;=DO104,-AG104,IF(DO104=$C$13+$C$10+1,$EK$93,0))</f>
        <v>0</v>
      </c>
      <c r="DQ104" s="17">
        <f t="shared" si="84"/>
        <v>652932.27486797923</v>
      </c>
      <c r="DR104" s="17">
        <f t="shared" si="85"/>
        <v>1236821.4190963297</v>
      </c>
      <c r="DS104" s="17">
        <f t="shared" si="51"/>
        <v>20792.350782564688</v>
      </c>
      <c r="DT104" s="17">
        <f t="shared" si="18"/>
        <v>1345646.733770417</v>
      </c>
      <c r="DU104" s="17">
        <f t="shared" si="86"/>
        <v>88032.963891522726</v>
      </c>
      <c r="DV104" s="33">
        <f t="shared" si="19"/>
        <v>616.23074724065816</v>
      </c>
      <c r="DW104" s="32">
        <f t="shared" si="20"/>
        <v>26912.934675408342</v>
      </c>
      <c r="DX104" s="17">
        <f t="shared" si="87"/>
        <v>0</v>
      </c>
      <c r="DY104" s="17">
        <f t="shared" si="88"/>
        <v>0</v>
      </c>
      <c r="DZ104" s="17">
        <f t="shared" si="21"/>
        <v>0</v>
      </c>
      <c r="EA104" s="17">
        <f t="shared" si="53"/>
        <v>4757.5368144472641</v>
      </c>
      <c r="EB104" s="15">
        <f t="shared" si="54"/>
        <v>22155.397860961079</v>
      </c>
      <c r="EC104" s="15">
        <f>IF(DP104=0,EC103,IF(DO104&lt;=$EK$88+$C$10,ABS(DP104)+EC103,EC103))</f>
        <v>430891.77838569693</v>
      </c>
      <c r="ED104" s="15">
        <f t="shared" si="89"/>
        <v>48975.970234090244</v>
      </c>
      <c r="EE104" s="16">
        <f t="shared" si="90"/>
        <v>1345646.733770417</v>
      </c>
      <c r="EF104" s="15">
        <f t="shared" si="22"/>
        <v>20792.350782564688</v>
      </c>
      <c r="EG104" s="15">
        <f t="shared" si="91"/>
        <v>222040.49648228244</v>
      </c>
      <c r="EH104" s="16"/>
      <c r="EI104" s="16"/>
      <c r="EJ104"/>
      <c r="EK104"/>
      <c r="EL104"/>
      <c r="EM104" s="28">
        <f t="shared" si="92"/>
        <v>2045</v>
      </c>
      <c r="EN104" s="29">
        <f>IF($C$13+$C$10&gt;=EM104,-(AG104),IF(EM104=$C$13+$C$10+1,$FB$93,0))</f>
        <v>0</v>
      </c>
      <c r="EO104" s="30">
        <f t="shared" si="93"/>
        <v>430891.77838569693</v>
      </c>
      <c r="EP104" s="30">
        <f t="shared" si="94"/>
        <v>1329409.1335720692</v>
      </c>
      <c r="EQ104" s="30">
        <f t="shared" si="56"/>
        <v>0</v>
      </c>
      <c r="ER104" s="25">
        <f t="shared" si="23"/>
        <v>1422467.7729221142</v>
      </c>
      <c r="ES104" s="30">
        <f t="shared" si="95"/>
        <v>93058.639350045007</v>
      </c>
      <c r="ET104" s="26">
        <f t="shared" si="24"/>
        <v>651.41047545031392</v>
      </c>
      <c r="EU104" s="30">
        <f t="shared" si="96"/>
        <v>651.41047545031392</v>
      </c>
      <c r="EV104" s="25">
        <f t="shared" si="25"/>
        <v>0</v>
      </c>
      <c r="EW104" s="31">
        <f t="shared" si="97"/>
        <v>6941.0319617549167</v>
      </c>
      <c r="EX104" s="27">
        <f>IF(EM104=0,EX103,IF(EM104&lt;=$FB$88+$C$10,ABS(EN104)+EX103,EX103))</f>
        <v>430891.77838569693</v>
      </c>
      <c r="EY104" s="15"/>
      <c r="EZ104"/>
      <c r="FA104"/>
      <c r="FB104"/>
      <c r="FC104" s="74"/>
      <c r="FD104" s="74"/>
      <c r="FE104" s="74"/>
      <c r="FF104" s="74"/>
      <c r="FG104" s="74"/>
      <c r="FH104" s="74"/>
      <c r="FI104" s="74"/>
      <c r="FJ104" s="28">
        <f t="shared" si="98"/>
        <v>2045</v>
      </c>
      <c r="FK104" s="65">
        <f>IF($C$13+$C$10&gt;=FJ104,-AG104,IF(FJ104=$C$13+$C$10+1,$EK$93,0))</f>
        <v>0</v>
      </c>
      <c r="FL104" s="65">
        <f t="shared" si="99"/>
        <v>74118.803999999975</v>
      </c>
      <c r="FM104" s="65">
        <f t="shared" si="100"/>
        <v>220741.88219889265</v>
      </c>
      <c r="FN104" s="65">
        <f t="shared" si="59"/>
        <v>0</v>
      </c>
      <c r="FO104" s="65">
        <f t="shared" si="26"/>
        <v>236193.81395281514</v>
      </c>
      <c r="FP104" s="65">
        <f t="shared" si="101"/>
        <v>15451.931753922487</v>
      </c>
      <c r="FQ104" s="59">
        <f t="shared" si="27"/>
        <v>108.16352227745739</v>
      </c>
      <c r="FR104" s="60">
        <f t="shared" si="28"/>
        <v>4723.8762790563032</v>
      </c>
      <c r="FS104" s="65">
        <f t="shared" si="102"/>
        <v>0</v>
      </c>
      <c r="FT104" s="65">
        <f t="shared" si="103"/>
        <v>0</v>
      </c>
      <c r="FU104" s="65">
        <f t="shared" si="29"/>
        <v>0</v>
      </c>
      <c r="FV104" s="65">
        <f t="shared" si="61"/>
        <v>660.88190802076997</v>
      </c>
      <c r="FW104" s="61">
        <f t="shared" si="62"/>
        <v>4062.9943710355333</v>
      </c>
      <c r="FX104" s="61">
        <f>IF(AND(FJ104&lt;=$GF$88+$C$10,FV103&lt;=0,FN104&gt;0),(FJ104-$C$10+1)*AG104+$GF$80,FX103)</f>
        <v>73074.599999999977</v>
      </c>
      <c r="FY104" s="62">
        <f t="shared" si="63"/>
        <v>3.1282314548556958</v>
      </c>
      <c r="FZ104" s="63">
        <f t="shared" si="104"/>
        <v>236193.81395281514</v>
      </c>
      <c r="GA104" s="64">
        <f>FR103</f>
        <v>4504.9363714059727</v>
      </c>
      <c r="GB104" s="64">
        <f t="shared" si="106"/>
        <v>64562.425379759239</v>
      </c>
      <c r="GC104" s="66">
        <f t="shared" si="30"/>
        <v>0</v>
      </c>
      <c r="GD104" s="64">
        <f t="shared" si="107"/>
        <v>1580.6039999999994</v>
      </c>
      <c r="GE104"/>
      <c r="GF104"/>
      <c r="GG104" s="74"/>
      <c r="GH104" s="74"/>
      <c r="GI104" s="28">
        <f t="shared" si="108"/>
        <v>2045</v>
      </c>
      <c r="GJ104" s="9">
        <f>IF($GX$88+$C$10&gt;=GI104,-AG104,IF(GI104=$GX$88+$C$10+1,$FB$93,0))</f>
        <v>0</v>
      </c>
      <c r="GK104" s="5">
        <f t="shared" si="109"/>
        <v>413474.6355861302</v>
      </c>
      <c r="GL104" s="5">
        <f t="shared" si="110"/>
        <v>1091023.2732372906</v>
      </c>
      <c r="GM104" s="35">
        <f t="shared" si="65"/>
        <v>3792.2325202907496</v>
      </c>
      <c r="GN104" s="4">
        <f t="shared" si="31"/>
        <v>1171452.5911606119</v>
      </c>
      <c r="GO104" s="5">
        <f t="shared" si="111"/>
        <v>76637.085403030738</v>
      </c>
      <c r="GP104" s="5">
        <f t="shared" si="32"/>
        <v>536.45959782121474</v>
      </c>
      <c r="GQ104" s="5">
        <f t="shared" si="112"/>
        <v>536.45959782121474</v>
      </c>
      <c r="GR104" s="4">
        <f t="shared" si="33"/>
        <v>99.043853247741751</v>
      </c>
      <c r="GS104" s="7">
        <f t="shared" si="113"/>
        <v>5305.8456890213683</v>
      </c>
      <c r="GT104" s="107" t="e">
        <f>IF($DG$62=0,EX104,IF(GI104-$C$10+1&lt;=$GF$98,0,#REF!-FX104))</f>
        <v>#REF!</v>
      </c>
      <c r="GU104"/>
      <c r="GV104"/>
      <c r="GW104"/>
      <c r="GX104"/>
      <c r="GY104" s="74"/>
      <c r="GZ104" s="74"/>
      <c r="HA104" s="74"/>
      <c r="HB104" s="74"/>
      <c r="HC104" s="74"/>
      <c r="HD104" s="74"/>
    </row>
    <row r="105" spans="1:212" ht="16.149999999999999" thickBot="1" x14ac:dyDescent="0.55000000000000004">
      <c r="AB105" s="117" t="str">
        <f t="shared" si="34"/>
        <v/>
      </c>
      <c r="AC105" s="117" t="str">
        <f t="shared" si="35"/>
        <v/>
      </c>
      <c r="AD105" s="299">
        <f>IF($C$20="NEIN",$C$21,IF($C$22="JA",'HISTORISCHE RENDITEN'!E29,'HISTORISCHE RENDITEN'!D29))</f>
        <v>0.30809999999999998</v>
      </c>
      <c r="AE105" s="129">
        <f t="shared" si="122"/>
        <v>53</v>
      </c>
      <c r="AF105" s="120">
        <f t="shared" si="37"/>
        <v>2046</v>
      </c>
      <c r="AG105" s="122">
        <f t="shared" si="0"/>
        <v>0</v>
      </c>
      <c r="AH105" s="124">
        <f t="shared" si="38"/>
        <v>430891.77838569693</v>
      </c>
      <c r="AI105" s="296">
        <f t="shared" si="114"/>
        <v>1050409.7946515298</v>
      </c>
      <c r="AJ105" s="123">
        <f t="shared" si="67"/>
        <v>0</v>
      </c>
      <c r="AK105" s="124">
        <f t="shared" si="68"/>
        <v>1374041.0523836662</v>
      </c>
      <c r="AL105" s="122">
        <f t="shared" si="1"/>
        <v>323631.25773213641</v>
      </c>
      <c r="AM105" s="122">
        <f>IF($C$25="Ausschütter",0,IF(AL105&gt;=0,(AI105+AJ105)*$C$48*0.7))</f>
        <v>514.70079937924947</v>
      </c>
      <c r="AN105" s="122">
        <f t="shared" si="2"/>
        <v>0</v>
      </c>
      <c r="AO105" s="122">
        <f t="shared" si="39"/>
        <v>514.70079937924947</v>
      </c>
      <c r="AP105" s="122">
        <f t="shared" si="69"/>
        <v>7131.1765202105853</v>
      </c>
      <c r="AQ105" s="122">
        <f>IF($C$25="AUSSCHÜTTER",0,IF(AO105*$C$46*$C$49&lt;=$C$47,0,AO105*$C$46*$C$49))</f>
        <v>0</v>
      </c>
      <c r="AR105" s="122">
        <f>IF(AO104*$C$49&gt;$C$47,(AN105)*$C$49*$C$46,IF((AO104+AN105)*$C$49&gt;$C$47,((AO104+AN105)*$C$49-$C$47)*$C$46,0))</f>
        <v>0</v>
      </c>
      <c r="AS105" s="122">
        <f t="shared" si="70"/>
        <v>0</v>
      </c>
      <c r="AT105" s="122">
        <f t="shared" si="40"/>
        <v>430891.77838569693</v>
      </c>
      <c r="AU105" s="122">
        <f t="shared" si="115"/>
        <v>0</v>
      </c>
      <c r="AV105" s="122">
        <f t="shared" si="71"/>
        <v>1374041.0523836662</v>
      </c>
      <c r="AW105" s="122">
        <f t="shared" si="41"/>
        <v>0</v>
      </c>
      <c r="AX105" s="130">
        <f t="shared" si="42"/>
        <v>0</v>
      </c>
      <c r="AY105" s="82">
        <f>IF(AF105&lt;$C$11,$C$15*(1+$C$19)^(AF105-$C$10),0)</f>
        <v>0</v>
      </c>
      <c r="AZ105" s="82">
        <f>$C$14*(1+$C$37)^(AF105-$C$10)</f>
        <v>33370.993769798763</v>
      </c>
      <c r="BA105" s="165">
        <f>IF(AF105&lt;$C$11,0,MAX($C$38*AI105,AZ105))</f>
        <v>33370.993769798763</v>
      </c>
      <c r="BB105" s="82">
        <f>IF(AF105&lt;$C$11,0,MAX($C$38*AI105,AZ105))</f>
        <v>33370.993769798763</v>
      </c>
      <c r="BC105" s="136">
        <f>IF($C$39="JA",CT105,DG105)</f>
        <v>8801.5996067844226</v>
      </c>
      <c r="BD105" s="82">
        <f t="shared" si="3"/>
        <v>0</v>
      </c>
      <c r="BE105" s="82">
        <f>IF(AF105&lt;($C$8+$C$30),0,$C$29*12*(1-$C$31))</f>
        <v>0</v>
      </c>
      <c r="BF105" s="82">
        <f>IF(AF105&lt;($C$8+$C$34),0,$C$33*12*(1-$C$35))</f>
        <v>0</v>
      </c>
      <c r="BG105" s="82">
        <f>IF(AF105&lt;$C$11,0,IF(AI105&lt;0,$C$42*(1+$C$44)^(AF105-$C$10),IF(((AL105+BE105+BF105)*$C$41)&lt;$C$42*(1+$C$44)^(AF105-$C$10),$C$42*(1+$C$44)^(AF105-$C$10),IF(((AL105+BE105+BF105)*$C$41)&lt;$C$43*(1+$C$44)^(AF105-$C$10),(AL105+BE105+BF105)*$C$41,IF(((AL105+BE105+BF105+BB105)*$C$41)&lt;$C$43*(1+$C$44)^(AF105-$C$10),((AL105+BE105+BF105+BB105)*$C$41),$C$43*(1+$C$44)^(AF105-$C$10))))))</f>
        <v>15670.20982436592</v>
      </c>
      <c r="BH105" s="82">
        <f t="shared" si="72"/>
        <v>57842.803200949107</v>
      </c>
      <c r="BI105" s="242">
        <f t="shared" si="73"/>
        <v>1374041.0523836662</v>
      </c>
      <c r="BJ105" s="217">
        <f t="shared" si="74"/>
        <v>1316198.2491827169</v>
      </c>
      <c r="BK105" s="118"/>
      <c r="BL105" s="219">
        <f t="shared" si="4"/>
        <v>9</v>
      </c>
      <c r="BM105" s="220">
        <f t="shared" si="5"/>
        <v>26</v>
      </c>
      <c r="BN105" s="220">
        <f t="shared" si="121"/>
        <v>0</v>
      </c>
      <c r="BO105" s="221">
        <f t="shared" si="7"/>
        <v>0</v>
      </c>
      <c r="BP105" s="221">
        <f t="shared" si="8"/>
        <v>0</v>
      </c>
      <c r="BQ105" s="222">
        <f t="shared" si="9"/>
        <v>0</v>
      </c>
      <c r="BR105" s="223">
        <f>IF(BM105&lt;$C$11-$C$10+1,0,IF(BL105&lt;=$C$13,VLOOKUP(BL105,$BN$80:$BQ$156,2,FALSE)-BS105,0))</f>
        <v>28544.878672659695</v>
      </c>
      <c r="BS105" s="223">
        <f>IF(BM105&lt;$C$11-$C$10+1,0,IF(BL105&lt;=$C$13,VLOOKUP(BL105,$BN$80:$BQ$156,3,FALSE),0))</f>
        <v>25381.436481824319</v>
      </c>
      <c r="BT105" s="222">
        <f>IF(BM105&lt;$C$11-$C$10+1,0,IF(BL105&lt;=$C$13,VLOOKUP(BL105,$BN$80:$BQ$156,4,FALSE),0))</f>
        <v>1.1246360580537167</v>
      </c>
      <c r="BU105" s="223">
        <f t="shared" si="43"/>
        <v>28395.286477353897</v>
      </c>
      <c r="BV105" s="223">
        <f t="shared" si="44"/>
        <v>0</v>
      </c>
      <c r="BW105" s="223">
        <f t="shared" si="118"/>
        <v>28395.286477353897</v>
      </c>
      <c r="BX105" s="223">
        <f>IF(AND(BS105&lt;=0,BN105=0),MIN((MAX($BZ$80:$BZ$156)-SUM($BX$80:BX104)),CA105),IF(BS105&lt;CA105,BS105,CA105))</f>
        <v>25381.436481824319</v>
      </c>
      <c r="BY105" s="222">
        <f>IF(BN105&gt;0,0,IF(AND(BN105=0,BT105&lt;=0),100%,((BW104*(AVERAGE($BT$80:BT104))+(BR105*BT105))/(BR105+BW104+BS105+BV104))))</f>
        <v>0.53942574923743947</v>
      </c>
      <c r="BZ105" s="139">
        <f t="shared" si="46"/>
        <v>430891.77838569693</v>
      </c>
      <c r="CA105" s="122">
        <f t="shared" si="10"/>
        <v>33370.993769798763</v>
      </c>
      <c r="CB105" s="181">
        <f t="shared" si="47"/>
        <v>0.53942574923743947</v>
      </c>
      <c r="CC105" s="122">
        <f t="shared" si="48"/>
        <v>414550.11964745843</v>
      </c>
      <c r="CD105" s="182">
        <f t="shared" si="119"/>
        <v>25381.436481824319</v>
      </c>
      <c r="CE105" s="122">
        <f t="shared" si="75"/>
        <v>233962.6221259787</v>
      </c>
      <c r="CF105" s="122">
        <f t="shared" si="76"/>
        <v>196929.15625971823</v>
      </c>
      <c r="CG105" s="182" t="str">
        <f t="shared" si="12"/>
        <v>JA</v>
      </c>
      <c r="CH105" s="183">
        <f t="shared" si="13"/>
        <v>0.53942574923743947</v>
      </c>
      <c r="CI105" s="142">
        <f t="shared" si="77"/>
        <v>9984</v>
      </c>
      <c r="CJ105" s="134">
        <f>CI105*$C$57</f>
        <v>0</v>
      </c>
      <c r="CK105" s="142">
        <f t="shared" si="78"/>
        <v>14926</v>
      </c>
      <c r="CL105" s="134">
        <f>CK105*$C$57</f>
        <v>0</v>
      </c>
      <c r="CM105" s="142">
        <f t="shared" si="79"/>
        <v>58596</v>
      </c>
      <c r="CN105" s="134">
        <f>CM105*$C$57</f>
        <v>0</v>
      </c>
      <c r="CO105" s="132">
        <f t="shared" si="117"/>
        <v>18001.173317071622</v>
      </c>
      <c r="CP105" s="140">
        <f t="shared" si="14"/>
        <v>0.25267531937423615</v>
      </c>
      <c r="CQ105" s="121" t="str">
        <f>IF($C$50="NEIN","NEIN",IF(CS105&lt;CR105,"JA","NEIN"))</f>
        <v>NEIN</v>
      </c>
      <c r="CR105" s="121">
        <f>CO105*$C$46</f>
        <v>4747.8094623776396</v>
      </c>
      <c r="CS105" s="121">
        <f t="shared" si="15"/>
        <v>1694.8804911889272</v>
      </c>
      <c r="CT105" s="201">
        <f>IF($C$50="NEIN",CR105,IF(CQ105="NEIN",CR105,CS105))</f>
        <v>4747.8094623776396</v>
      </c>
      <c r="CU105" s="149"/>
      <c r="CV105" s="202">
        <f t="shared" si="80"/>
        <v>9984</v>
      </c>
      <c r="CW105" s="134">
        <f>CV105*$C$57</f>
        <v>0</v>
      </c>
      <c r="CX105" s="142">
        <f t="shared" si="81"/>
        <v>14926</v>
      </c>
      <c r="CY105" s="134">
        <f>CX105*$C$57</f>
        <v>0</v>
      </c>
      <c r="CZ105" s="142">
        <f t="shared" si="82"/>
        <v>58596</v>
      </c>
      <c r="DA105" s="143">
        <f>CZ105*$C$57</f>
        <v>0</v>
      </c>
      <c r="DB105" s="165">
        <f t="shared" si="120"/>
        <v>33370.993769798763</v>
      </c>
      <c r="DC105" s="140">
        <f t="shared" si="50"/>
        <v>0.31602699515831867</v>
      </c>
      <c r="DD105" s="121" t="str">
        <f>IF($C$50="NEIN","NEIN",IF(DF105&lt;DE105,"JA","NEIN"))</f>
        <v>NEIN</v>
      </c>
      <c r="DE105" s="121">
        <f>DB105*$C$46</f>
        <v>8801.5996067844226</v>
      </c>
      <c r="DF105" s="121">
        <f t="shared" si="17"/>
        <v>6061.8166011858902</v>
      </c>
      <c r="DG105" s="201">
        <f>IF($C$50="NEIN",DE105,IF(DD105="NEIN",DE105,DF105))</f>
        <v>8801.5996067844226</v>
      </c>
      <c r="DH105" s="159"/>
      <c r="DI105" s="74"/>
      <c r="DJ105" s="74"/>
      <c r="DK105" s="128"/>
      <c r="DL105" s="128"/>
      <c r="DM105" s="128"/>
      <c r="DN105" s="74"/>
      <c r="DO105" s="28">
        <f t="shared" si="83"/>
        <v>2046</v>
      </c>
      <c r="DP105" s="17">
        <f>IF($C$13+$C$10&gt;=DO105,-AG105,IF(DO105=$C$13+$C$10+1,$EK$93,0))</f>
        <v>0</v>
      </c>
      <c r="DQ105" s="17">
        <f t="shared" si="84"/>
        <v>675087.67272894026</v>
      </c>
      <c r="DR105" s="17">
        <f t="shared" si="85"/>
        <v>1318733.7990950088</v>
      </c>
      <c r="DS105" s="17">
        <f t="shared" si="51"/>
        <v>22155.397860961079</v>
      </c>
      <c r="DT105" s="17">
        <f t="shared" si="18"/>
        <v>1434751.4407428878</v>
      </c>
      <c r="DU105" s="17">
        <f t="shared" si="86"/>
        <v>93862.243786917999</v>
      </c>
      <c r="DV105" s="33">
        <f t="shared" si="19"/>
        <v>657.03570650842516</v>
      </c>
      <c r="DW105" s="32">
        <f t="shared" si="20"/>
        <v>28695.028814857757</v>
      </c>
      <c r="DX105" s="17">
        <f t="shared" si="87"/>
        <v>0</v>
      </c>
      <c r="DY105" s="17">
        <f t="shared" si="88"/>
        <v>0</v>
      </c>
      <c r="DZ105" s="17">
        <f t="shared" si="21"/>
        <v>0</v>
      </c>
      <c r="EA105" s="17">
        <f t="shared" si="53"/>
        <v>5086.555944943113</v>
      </c>
      <c r="EB105" s="15">
        <f t="shared" si="54"/>
        <v>23608.472869914644</v>
      </c>
      <c r="EC105" s="15">
        <f>IF(DP105=0,EC104,IF(DO105&lt;=$EK$88+$C$10,ABS(DP105)+EC104,EC104))</f>
        <v>430891.77838569693</v>
      </c>
      <c r="ED105" s="15">
        <f t="shared" si="89"/>
        <v>54062.526179033361</v>
      </c>
      <c r="EE105" s="16">
        <f t="shared" si="90"/>
        <v>1434751.4407428878</v>
      </c>
      <c r="EF105" s="15">
        <f t="shared" si="22"/>
        <v>22155.397860961079</v>
      </c>
      <c r="EG105" s="15">
        <f t="shared" si="91"/>
        <v>244195.8943432435</v>
      </c>
      <c r="EH105" s="16"/>
      <c r="EI105" s="16"/>
      <c r="EJ105"/>
      <c r="EK105"/>
      <c r="EL105"/>
      <c r="EM105" s="28">
        <f t="shared" si="92"/>
        <v>2046</v>
      </c>
      <c r="EN105" s="29">
        <f>IF($C$13+$C$10&gt;=EM105,-(AG105),IF(EM105=$C$13+$C$10+1,$FB$93,0))</f>
        <v>0</v>
      </c>
      <c r="EO105" s="30">
        <f t="shared" si="93"/>
        <v>430891.77838569693</v>
      </c>
      <c r="EP105" s="30">
        <f t="shared" si="94"/>
        <v>1422467.7729221142</v>
      </c>
      <c r="EQ105" s="30">
        <f t="shared" si="56"/>
        <v>0</v>
      </c>
      <c r="ER105" s="25">
        <f t="shared" si="23"/>
        <v>1522040.5170266624</v>
      </c>
      <c r="ES105" s="30">
        <f t="shared" si="95"/>
        <v>99572.744104548125</v>
      </c>
      <c r="ET105" s="26">
        <f t="shared" si="24"/>
        <v>697.00920873183588</v>
      </c>
      <c r="EU105" s="30">
        <f t="shared" si="96"/>
        <v>697.00920873183588</v>
      </c>
      <c r="EV105" s="25">
        <f t="shared" si="25"/>
        <v>0</v>
      </c>
      <c r="EW105" s="31">
        <f t="shared" si="97"/>
        <v>7638.0411704867529</v>
      </c>
      <c r="EX105" s="27">
        <f>IF(EM105=0,EX104,IF(EM105&lt;=$FB$88+$C$10,ABS(EN105)+EX104,EX104))</f>
        <v>430891.77838569693</v>
      </c>
      <c r="EY105" s="15"/>
      <c r="EZ105"/>
      <c r="FA105"/>
      <c r="FB105"/>
      <c r="FC105" s="74"/>
      <c r="FD105" s="74"/>
      <c r="FE105" s="74"/>
      <c r="FF105" s="74"/>
      <c r="FG105" s="74"/>
      <c r="FH105" s="74"/>
      <c r="FI105" s="74"/>
      <c r="FJ105" s="28">
        <f t="shared" si="98"/>
        <v>2046</v>
      </c>
      <c r="FK105" s="65">
        <f>IF($C$13+$C$10&gt;=FJ105,-AG105,IF(FJ105=$C$13+$C$10+1,$EK$93,0))</f>
        <v>0</v>
      </c>
      <c r="FL105" s="65">
        <f t="shared" si="99"/>
        <v>74118.803999999975</v>
      </c>
      <c r="FM105" s="65">
        <f t="shared" si="100"/>
        <v>231469.93767375883</v>
      </c>
      <c r="FN105" s="65">
        <f t="shared" si="59"/>
        <v>0</v>
      </c>
      <c r="FO105" s="65">
        <f t="shared" si="26"/>
        <v>247672.83331092197</v>
      </c>
      <c r="FP105" s="65">
        <f t="shared" si="101"/>
        <v>16202.895637163136</v>
      </c>
      <c r="FQ105" s="59">
        <f t="shared" si="27"/>
        <v>113.42026946014182</v>
      </c>
      <c r="FR105" s="60">
        <f t="shared" si="28"/>
        <v>4953.4566662184398</v>
      </c>
      <c r="FS105" s="65">
        <f t="shared" si="102"/>
        <v>0</v>
      </c>
      <c r="FT105" s="65">
        <f t="shared" si="103"/>
        <v>0</v>
      </c>
      <c r="FU105" s="65">
        <f t="shared" si="29"/>
        <v>0</v>
      </c>
      <c r="FV105" s="65">
        <f t="shared" si="61"/>
        <v>703.26818700057936</v>
      </c>
      <c r="FW105" s="61">
        <f t="shared" si="62"/>
        <v>4250.1884792178607</v>
      </c>
      <c r="FX105" s="61">
        <f>IF(AND(FJ105&lt;=$GF$88+$C$10,FV104&lt;=0,FN105&gt;0),(FJ105-$C$10+1)*AG105+$GF$80,FX104)</f>
        <v>73074.599999999977</v>
      </c>
      <c r="FY105" s="62">
        <f t="shared" si="63"/>
        <v>3.3288635035616827</v>
      </c>
      <c r="FZ105" s="63">
        <f t="shared" si="104"/>
        <v>247672.83331092197</v>
      </c>
      <c r="GA105" s="64">
        <f t="shared" si="105"/>
        <v>4723.8762790563032</v>
      </c>
      <c r="GB105" s="64">
        <f t="shared" si="106"/>
        <v>69286.301658815544</v>
      </c>
      <c r="GC105" s="66">
        <f t="shared" si="30"/>
        <v>0</v>
      </c>
      <c r="GD105" s="64">
        <f t="shared" si="107"/>
        <v>1580.6039999999994</v>
      </c>
      <c r="GE105"/>
      <c r="GF105"/>
      <c r="GG105" s="74"/>
      <c r="GH105" s="74"/>
      <c r="GI105" s="28">
        <f t="shared" si="108"/>
        <v>2046</v>
      </c>
      <c r="GJ105" s="9">
        <f>IF($GX$88+$C$10&gt;=GI105,-AG105,IF(GI105=$GX$88+$C$10+1,$FB$93,0))</f>
        <v>0</v>
      </c>
      <c r="GK105" s="5">
        <f t="shared" si="109"/>
        <v>417438.58610391797</v>
      </c>
      <c r="GL105" s="5">
        <f t="shared" si="110"/>
        <v>1171452.5911606119</v>
      </c>
      <c r="GM105" s="35">
        <f t="shared" si="65"/>
        <v>3963.9505177877913</v>
      </c>
      <c r="GN105" s="4">
        <f t="shared" si="31"/>
        <v>1257695.6995958879</v>
      </c>
      <c r="GO105" s="5">
        <f t="shared" si="111"/>
        <v>82279.157917488134</v>
      </c>
      <c r="GP105" s="5">
        <f t="shared" si="32"/>
        <v>575.95410542241586</v>
      </c>
      <c r="GQ105" s="5">
        <f t="shared" si="112"/>
        <v>575.95410542241586</v>
      </c>
      <c r="GR105" s="4">
        <f t="shared" si="33"/>
        <v>106.33552671361352</v>
      </c>
      <c r="GS105" s="7">
        <f t="shared" si="113"/>
        <v>5881.7997944437839</v>
      </c>
      <c r="GT105" s="107" t="e">
        <f>IF($DG$62=0,EX105,IF(GI105-$C$10+1&lt;=$GF$98,0,#REF!-FX105))</f>
        <v>#REF!</v>
      </c>
      <c r="GU105"/>
      <c r="GV105"/>
      <c r="GW105"/>
      <c r="GX105"/>
      <c r="GY105" s="74"/>
      <c r="GZ105" s="74"/>
      <c r="HA105" s="74"/>
      <c r="HB105" s="74"/>
      <c r="HC105" s="74"/>
      <c r="HD105" s="74"/>
    </row>
    <row r="106" spans="1:212" ht="16.149999999999999" thickBot="1" x14ac:dyDescent="0.55000000000000004">
      <c r="AB106" s="117" t="str">
        <f t="shared" si="34"/>
        <v/>
      </c>
      <c r="AC106" s="117" t="str">
        <f t="shared" si="35"/>
        <v/>
      </c>
      <c r="AD106" s="299">
        <f>IF($C$20="NEIN",$C$21,IF($C$22="JA",'HISTORISCHE RENDITEN'!E30,'HISTORISCHE RENDITEN'!D30))</f>
        <v>0.12839999999999999</v>
      </c>
      <c r="AE106" s="129">
        <f t="shared" si="122"/>
        <v>54</v>
      </c>
      <c r="AF106" s="120">
        <f t="shared" si="37"/>
        <v>2047</v>
      </c>
      <c r="AG106" s="122">
        <f t="shared" si="0"/>
        <v>0</v>
      </c>
      <c r="AH106" s="124">
        <f t="shared" si="38"/>
        <v>430891.77838569693</v>
      </c>
      <c r="AI106" s="296">
        <f t="shared" si="114"/>
        <v>1316198.2491827169</v>
      </c>
      <c r="AJ106" s="123">
        <f t="shared" si="67"/>
        <v>0</v>
      </c>
      <c r="AK106" s="124">
        <f t="shared" si="68"/>
        <v>1485198.1043777778</v>
      </c>
      <c r="AL106" s="122">
        <f t="shared" si="1"/>
        <v>168999.85519506084</v>
      </c>
      <c r="AM106" s="122">
        <f>IF($C$25="Ausschütter",0,IF(AL106&gt;=0,(AI106+AJ106)*$C$48*0.7))</f>
        <v>644.93714209953123</v>
      </c>
      <c r="AN106" s="122">
        <f t="shared" si="2"/>
        <v>0</v>
      </c>
      <c r="AO106" s="122">
        <f t="shared" si="39"/>
        <v>644.93714209953123</v>
      </c>
      <c r="AP106" s="122">
        <f t="shared" si="69"/>
        <v>7776.1136623101165</v>
      </c>
      <c r="AQ106" s="122">
        <f>IF($C$25="AUSSCHÜTTER",0,IF(AO106*$C$46*$C$49&lt;=$C$47,0,AO106*$C$46*$C$49))</f>
        <v>0</v>
      </c>
      <c r="AR106" s="122">
        <f>IF(AO105*$C$49&gt;$C$47,(AN106)*$C$49*$C$46,IF((AO105+AN106)*$C$49&gt;$C$47,((AO105+AN106)*$C$49-$C$47)*$C$46,0))</f>
        <v>0</v>
      </c>
      <c r="AS106" s="122">
        <f t="shared" si="70"/>
        <v>0</v>
      </c>
      <c r="AT106" s="122">
        <f t="shared" si="40"/>
        <v>430891.77838569693</v>
      </c>
      <c r="AU106" s="122">
        <f t="shared" si="115"/>
        <v>0</v>
      </c>
      <c r="AV106" s="122">
        <f t="shared" si="71"/>
        <v>1485198.1043777778</v>
      </c>
      <c r="AW106" s="122">
        <f t="shared" si="41"/>
        <v>0</v>
      </c>
      <c r="AX106" s="130">
        <f t="shared" si="42"/>
        <v>0</v>
      </c>
      <c r="AY106" s="82">
        <f>IF(AF106&lt;$C$11,$C$15*(1+$C$19)^(AF106-$C$10),0)</f>
        <v>0</v>
      </c>
      <c r="AZ106" s="82">
        <f>$C$14*(1+$C$37)^(AF106-$C$10)</f>
        <v>34205.268614043729</v>
      </c>
      <c r="BA106" s="165">
        <f>IF(AF106&lt;$C$11,0,MAX($C$38*AI106,AZ106))</f>
        <v>39485.947475481509</v>
      </c>
      <c r="BB106" s="82">
        <f>IF(AF106&lt;$C$11,0,MAX($C$38*AI106,AZ106))</f>
        <v>39485.947475481509</v>
      </c>
      <c r="BC106" s="136">
        <f>IF($C$39="JA",CT106,DG106)</f>
        <v>10414.418646658247</v>
      </c>
      <c r="BD106" s="82">
        <f t="shared" si="3"/>
        <v>0</v>
      </c>
      <c r="BE106" s="82">
        <f>IF(AF106&lt;($C$8+$C$30),0,$C$29*12*(1-$C$31))</f>
        <v>0</v>
      </c>
      <c r="BF106" s="82">
        <f>IF(AF106&lt;($C$8+$C$34),0,$C$33*12*(1-$C$35))</f>
        <v>0</v>
      </c>
      <c r="BG106" s="82">
        <f>IF(AF106&lt;$C$11,0,IF(AI106&lt;0,$C$42*(1+$C$44)^(AF106-$C$10),IF(((AL106+BE106+BF106)*$C$41)&lt;$C$42*(1+$C$44)^(AF106-$C$10),$C$42*(1+$C$44)^(AF106-$C$10),IF(((AL106+BE106+BF106)*$C$41)&lt;$C$43*(1+$C$44)^(AF106-$C$10),(AL106+BE106+BF106)*$C$41,IF(((AL106+BE106+BF106+BB106)*$C$41)&lt;$C$43*(1+$C$44)^(AF106-$C$10),((AL106+BE106+BF106+BB106)*$C$41),$C$43*(1+$C$44)^(AF106-$C$10))))))</f>
        <v>15905.262971731407</v>
      </c>
      <c r="BH106" s="82">
        <f t="shared" si="72"/>
        <v>65805.629093871161</v>
      </c>
      <c r="BI106" s="242">
        <f t="shared" si="73"/>
        <v>1485198.1043777778</v>
      </c>
      <c r="BJ106" s="217">
        <f t="shared" si="74"/>
        <v>1419392.4752839066</v>
      </c>
      <c r="BK106" s="118"/>
      <c r="BL106" s="219">
        <f t="shared" si="4"/>
        <v>10</v>
      </c>
      <c r="BM106" s="220">
        <f t="shared" si="5"/>
        <v>27</v>
      </c>
      <c r="BN106" s="220">
        <f t="shared" si="121"/>
        <v>0</v>
      </c>
      <c r="BO106" s="221">
        <f t="shared" si="7"/>
        <v>0</v>
      </c>
      <c r="BP106" s="221">
        <f t="shared" si="8"/>
        <v>0</v>
      </c>
      <c r="BQ106" s="222">
        <f t="shared" si="9"/>
        <v>0</v>
      </c>
      <c r="BR106" s="223">
        <f>IF(BM106&lt;$C$11-$C$10+1,0,IF(BL106&lt;=$C$13,VLOOKUP(BL106,$BN$80:$BQ$156,2,FALSE)-BS106,0))</f>
        <v>33039.489468980566</v>
      </c>
      <c r="BS106" s="223">
        <f>IF(BM106&lt;$C$11-$C$10+1,0,IF(BL106&lt;=$C$13,VLOOKUP(BL106,$BN$80:$BQ$156,3,FALSE),0))</f>
        <v>25217.1427758469</v>
      </c>
      <c r="BT106" s="222">
        <f>IF(BM106&lt;$C$11-$C$10+1,0,IF(BL106&lt;=$C$13,VLOOKUP(BL106,$BN$80:$BQ$156,4,FALSE),0))</f>
        <v>1.3101995639500421</v>
      </c>
      <c r="BU106" s="223">
        <f t="shared" si="43"/>
        <v>47165.971246699854</v>
      </c>
      <c r="BV106" s="223">
        <f t="shared" si="44"/>
        <v>0</v>
      </c>
      <c r="BW106" s="223">
        <f t="shared" si="118"/>
        <v>47165.971246699854</v>
      </c>
      <c r="BX106" s="223">
        <f>IF(AND(BS106&lt;=0,BN106=0),MIN((MAX($BZ$80:$BZ$156)-SUM($BX$80:BX105)),CA106),IF(BS106&lt;CA106,BS106,CA106))</f>
        <v>25217.1427758469</v>
      </c>
      <c r="BY106" s="222">
        <f>IF(BN106&gt;0,0,IF(AND(BN106=0,BT106&lt;=0),100%,((BW105*(AVERAGE($BT$80:BT105))+(BR106*BT106))/(BR106+BW105+BS106+BV105))))</f>
        <v>0.56260031280452161</v>
      </c>
      <c r="BZ106" s="139">
        <f t="shared" si="46"/>
        <v>430891.77838569693</v>
      </c>
      <c r="CA106" s="122">
        <f t="shared" si="10"/>
        <v>39485.947475481509</v>
      </c>
      <c r="CB106" s="181">
        <f t="shared" si="47"/>
        <v>0.56260031280452161</v>
      </c>
      <c r="CC106" s="122">
        <f t="shared" si="48"/>
        <v>454036.06712293992</v>
      </c>
      <c r="CD106" s="182">
        <f t="shared" si="119"/>
        <v>25217.1427758469</v>
      </c>
      <c r="CE106" s="122">
        <f t="shared" si="75"/>
        <v>259179.76490182561</v>
      </c>
      <c r="CF106" s="122">
        <f t="shared" si="76"/>
        <v>171712.01348387133</v>
      </c>
      <c r="CG106" s="182" t="str">
        <f t="shared" si="12"/>
        <v>JA</v>
      </c>
      <c r="CH106" s="183">
        <f t="shared" si="13"/>
        <v>0.56260031280452161</v>
      </c>
      <c r="CI106" s="142">
        <f t="shared" si="77"/>
        <v>9984</v>
      </c>
      <c r="CJ106" s="134">
        <f>CI106*$C$57</f>
        <v>0</v>
      </c>
      <c r="CK106" s="142">
        <f t="shared" si="78"/>
        <v>14926</v>
      </c>
      <c r="CL106" s="134">
        <f>CK106*$C$57</f>
        <v>0</v>
      </c>
      <c r="CM106" s="142">
        <f t="shared" si="79"/>
        <v>58596</v>
      </c>
      <c r="CN106" s="134">
        <f>CM106*$C$57</f>
        <v>0</v>
      </c>
      <c r="CO106" s="132">
        <f t="shared" si="117"/>
        <v>22214.806401088808</v>
      </c>
      <c r="CP106" s="140">
        <f t="shared" si="14"/>
        <v>0.27004316812905849</v>
      </c>
      <c r="CQ106" s="121" t="str">
        <f>IF($C$50="NEIN","NEIN",IF(CS106&lt;CR106,"JA","NEIN"))</f>
        <v>NEIN</v>
      </c>
      <c r="CR106" s="121">
        <f>CO106*$C$46</f>
        <v>5859.1551882871727</v>
      </c>
      <c r="CS106" s="121">
        <f t="shared" si="15"/>
        <v>2795.0363385758828</v>
      </c>
      <c r="CT106" s="201">
        <f>IF($C$50="NEIN",CR106,IF(CQ106="NEIN",CR106,CS106))</f>
        <v>5859.1551882871727</v>
      </c>
      <c r="CU106" s="149"/>
      <c r="CV106" s="202">
        <f t="shared" si="80"/>
        <v>9984</v>
      </c>
      <c r="CW106" s="134">
        <f>CV106*$C$57</f>
        <v>0</v>
      </c>
      <c r="CX106" s="142">
        <f t="shared" si="81"/>
        <v>14926</v>
      </c>
      <c r="CY106" s="134">
        <f>CX106*$C$57</f>
        <v>0</v>
      </c>
      <c r="CZ106" s="142">
        <f t="shared" si="82"/>
        <v>58596</v>
      </c>
      <c r="DA106" s="143">
        <f>CZ106*$C$57</f>
        <v>0</v>
      </c>
      <c r="DB106" s="165">
        <f t="shared" si="120"/>
        <v>39485.947475481509</v>
      </c>
      <c r="DC106" s="140">
        <f t="shared" si="50"/>
        <v>0.34123175052866206</v>
      </c>
      <c r="DD106" s="121" t="str">
        <f>IF($C$50="NEIN","NEIN",IF(DF106&lt;DE106,"JA","NEIN"))</f>
        <v>NEIN</v>
      </c>
      <c r="DE106" s="121">
        <f>DB106*$C$46</f>
        <v>10414.418646658247</v>
      </c>
      <c r="DF106" s="121">
        <f t="shared" si="17"/>
        <v>8070.4266324556365</v>
      </c>
      <c r="DG106" s="201">
        <f>IF($C$50="NEIN",DE106,IF(DD106="NEIN",DE106,DF106))</f>
        <v>10414.418646658247</v>
      </c>
      <c r="DH106" s="159"/>
      <c r="DI106" s="74"/>
      <c r="DJ106" s="74"/>
      <c r="DK106" s="128"/>
      <c r="DL106" s="128"/>
      <c r="DM106" s="128"/>
      <c r="DN106" s="74"/>
      <c r="DO106" s="28">
        <f t="shared" si="83"/>
        <v>2047</v>
      </c>
      <c r="DP106" s="17">
        <f>IF($C$13+$C$10&gt;=DO106,-AG106,IF(DO106=$C$13+$C$10+1,$EK$93,0))</f>
        <v>0</v>
      </c>
      <c r="DQ106" s="17">
        <f t="shared" si="84"/>
        <v>698696.14559885487</v>
      </c>
      <c r="DR106" s="17">
        <f t="shared" si="85"/>
        <v>1406056.41192803</v>
      </c>
      <c r="DS106" s="17">
        <f t="shared" si="51"/>
        <v>23608.472869914644</v>
      </c>
      <c r="DT106" s="17">
        <f t="shared" si="18"/>
        <v>1529741.4267338009</v>
      </c>
      <c r="DU106" s="17">
        <f t="shared" si="86"/>
        <v>100076.54193585622</v>
      </c>
      <c r="DV106" s="33">
        <f t="shared" si="19"/>
        <v>700.53579355099282</v>
      </c>
      <c r="DW106" s="32">
        <f t="shared" si="20"/>
        <v>30594.82853467602</v>
      </c>
      <c r="DX106" s="17">
        <f t="shared" si="87"/>
        <v>0</v>
      </c>
      <c r="DY106" s="17">
        <f t="shared" si="88"/>
        <v>0</v>
      </c>
      <c r="DZ106" s="17">
        <f t="shared" si="21"/>
        <v>0</v>
      </c>
      <c r="EA106" s="17">
        <f t="shared" si="53"/>
        <v>5437.3064682145596</v>
      </c>
      <c r="EB106" s="15">
        <f t="shared" si="54"/>
        <v>25157.522066461461</v>
      </c>
      <c r="EC106" s="15">
        <f>IF(DP106=0,EC105,IF(DO106&lt;=$EK$88+$C$10,ABS(DP106)+EC105,EC105))</f>
        <v>430891.77838569693</v>
      </c>
      <c r="ED106" s="15">
        <f t="shared" si="89"/>
        <v>59499.832647247924</v>
      </c>
      <c r="EE106" s="16">
        <f t="shared" si="90"/>
        <v>1529741.4267338009</v>
      </c>
      <c r="EF106" s="15">
        <f t="shared" si="22"/>
        <v>23608.472869914644</v>
      </c>
      <c r="EG106" s="15">
        <f t="shared" si="91"/>
        <v>267804.36721315817</v>
      </c>
      <c r="EH106" s="16"/>
      <c r="EI106" s="16"/>
      <c r="EJ106"/>
      <c r="EK106"/>
      <c r="EL106"/>
      <c r="EM106" s="28">
        <f t="shared" si="92"/>
        <v>2047</v>
      </c>
      <c r="EN106" s="29">
        <f>IF($C$13+$C$10&gt;=EM106,-(AG106),IF(EM106=$C$13+$C$10+1,$FB$93,0))</f>
        <v>0</v>
      </c>
      <c r="EO106" s="30">
        <f t="shared" si="93"/>
        <v>430891.77838569693</v>
      </c>
      <c r="EP106" s="30">
        <f t="shared" si="94"/>
        <v>1522040.5170266624</v>
      </c>
      <c r="EQ106" s="30">
        <f t="shared" si="56"/>
        <v>0</v>
      </c>
      <c r="ER106" s="25">
        <f t="shared" si="23"/>
        <v>1628583.3532185289</v>
      </c>
      <c r="ES106" s="30">
        <f t="shared" si="95"/>
        <v>106542.83619186655</v>
      </c>
      <c r="ET106" s="26">
        <f t="shared" si="24"/>
        <v>745.79985334306446</v>
      </c>
      <c r="EU106" s="30">
        <f t="shared" si="96"/>
        <v>745.79985334306446</v>
      </c>
      <c r="EV106" s="25">
        <f t="shared" si="25"/>
        <v>0</v>
      </c>
      <c r="EW106" s="31">
        <f t="shared" si="97"/>
        <v>8383.8410238298165</v>
      </c>
      <c r="EX106" s="27">
        <f>IF(EM106=0,EX105,IF(EM106&lt;=$FB$88+$C$10,ABS(EN106)+EX105,EX105))</f>
        <v>430891.77838569693</v>
      </c>
      <c r="EY106" s="15"/>
      <c r="EZ106"/>
      <c r="FA106"/>
      <c r="FB106"/>
      <c r="FC106" s="74"/>
      <c r="FD106" s="74"/>
      <c r="FE106" s="74"/>
      <c r="FF106" s="74"/>
      <c r="FG106" s="74"/>
      <c r="FH106" s="74"/>
      <c r="FI106" s="74"/>
      <c r="FJ106" s="28">
        <f t="shared" si="98"/>
        <v>2047</v>
      </c>
      <c r="FK106" s="65">
        <f>IF($C$13+$C$10&gt;=FJ106,-AG106,IF(FJ106=$C$13+$C$10+1,$EK$93,0))</f>
        <v>0</v>
      </c>
      <c r="FL106" s="65">
        <f t="shared" si="99"/>
        <v>74118.803999999975</v>
      </c>
      <c r="FM106" s="65">
        <f t="shared" si="100"/>
        <v>242719.37664470353</v>
      </c>
      <c r="FN106" s="65">
        <f t="shared" si="59"/>
        <v>0</v>
      </c>
      <c r="FO106" s="65">
        <f t="shared" si="26"/>
        <v>259709.73300983279</v>
      </c>
      <c r="FP106" s="65">
        <f t="shared" si="101"/>
        <v>16990.356365129264</v>
      </c>
      <c r="FQ106" s="59">
        <f t="shared" si="27"/>
        <v>118.93249455590473</v>
      </c>
      <c r="FR106" s="60">
        <f t="shared" si="28"/>
        <v>5194.1946601966556</v>
      </c>
      <c r="FS106" s="65">
        <f t="shared" si="102"/>
        <v>0</v>
      </c>
      <c r="FT106" s="65">
        <f t="shared" si="103"/>
        <v>0</v>
      </c>
      <c r="FU106" s="65">
        <f t="shared" si="29"/>
        <v>0</v>
      </c>
      <c r="FV106" s="65">
        <f t="shared" si="61"/>
        <v>747.71443913880739</v>
      </c>
      <c r="FW106" s="61">
        <f t="shared" si="62"/>
        <v>4446.4802210578482</v>
      </c>
      <c r="FX106" s="61">
        <f>IF(AND(FJ106&lt;=$GF$88+$C$10,FV105&lt;=0,FN106&gt;0),(FJ106-$C$10+1)*AG106+$GF$80,FX105)</f>
        <v>73074.599999999977</v>
      </c>
      <c r="FY106" s="62">
        <f t="shared" si="63"/>
        <v>3.5392462698347797</v>
      </c>
      <c r="FZ106" s="63">
        <f t="shared" si="104"/>
        <v>259709.73300983279</v>
      </c>
      <c r="GA106" s="64">
        <f t="shared" si="105"/>
        <v>4953.4566662184398</v>
      </c>
      <c r="GB106" s="64">
        <f t="shared" si="106"/>
        <v>74239.758325033981</v>
      </c>
      <c r="GC106" s="66">
        <f t="shared" si="30"/>
        <v>0</v>
      </c>
      <c r="GD106" s="64">
        <f t="shared" si="107"/>
        <v>1580.6039999999994</v>
      </c>
      <c r="GE106"/>
      <c r="GF106"/>
      <c r="GG106" s="74"/>
      <c r="GH106" s="74"/>
      <c r="GI106" s="28">
        <f t="shared" si="108"/>
        <v>2047</v>
      </c>
      <c r="GJ106" s="9">
        <f>IF($GX$88+$C$10&gt;=GI106,-AG106,IF(GI106=$GX$88+$C$10+1,$FB$93,0))</f>
        <v>0</v>
      </c>
      <c r="GK106" s="5">
        <f t="shared" si="109"/>
        <v>421582.43905642221</v>
      </c>
      <c r="GL106" s="5">
        <f t="shared" si="110"/>
        <v>1257695.6995958879</v>
      </c>
      <c r="GM106" s="35">
        <f t="shared" si="65"/>
        <v>4143.8529525042468</v>
      </c>
      <c r="GN106" s="4">
        <f t="shared" si="31"/>
        <v>1350168.3212267798</v>
      </c>
      <c r="GO106" s="5">
        <f t="shared" si="111"/>
        <v>88328.768678387627</v>
      </c>
      <c r="GP106" s="5">
        <f t="shared" si="32"/>
        <v>618.30138074871206</v>
      </c>
      <c r="GQ106" s="5">
        <f t="shared" si="112"/>
        <v>618.30138074871206</v>
      </c>
      <c r="GR106" s="4">
        <f t="shared" si="33"/>
        <v>114.15389242073095</v>
      </c>
      <c r="GS106" s="7">
        <f t="shared" si="113"/>
        <v>6500.1011751924962</v>
      </c>
      <c r="GT106" s="107" t="e">
        <f>IF($DG$62=0,EX106,IF(GI106-$C$10+1&lt;=$GF$98,0,#REF!-FX106))</f>
        <v>#REF!</v>
      </c>
      <c r="GU106"/>
      <c r="GV106"/>
      <c r="GW106"/>
      <c r="GX106"/>
      <c r="GY106" s="74"/>
      <c r="GZ106" s="74"/>
      <c r="HA106" s="74"/>
      <c r="HB106" s="74"/>
      <c r="HC106" s="74"/>
      <c r="HD106" s="74"/>
    </row>
    <row r="107" spans="1:212" ht="16.149999999999999" thickBot="1" x14ac:dyDescent="0.55000000000000004">
      <c r="AB107" s="117" t="str">
        <f t="shared" si="34"/>
        <v/>
      </c>
      <c r="AC107" s="117" t="str">
        <f t="shared" si="35"/>
        <v/>
      </c>
      <c r="AD107" s="299">
        <f>IF($C$20="NEIN",$C$21,IF($C$22="JA",'HISTORISCHE RENDITEN'!E31,'HISTORISCHE RENDITEN'!D31))</f>
        <v>7.5600000000000001E-2</v>
      </c>
      <c r="AE107" s="129">
        <f t="shared" si="122"/>
        <v>55</v>
      </c>
      <c r="AF107" s="120">
        <f t="shared" si="37"/>
        <v>2048</v>
      </c>
      <c r="AG107" s="122">
        <f t="shared" si="0"/>
        <v>0</v>
      </c>
      <c r="AH107" s="124">
        <f t="shared" si="38"/>
        <v>430891.77838569693</v>
      </c>
      <c r="AI107" s="296">
        <f t="shared" si="114"/>
        <v>1419392.4752839066</v>
      </c>
      <c r="AJ107" s="123">
        <f t="shared" si="67"/>
        <v>0</v>
      </c>
      <c r="AK107" s="124">
        <f t="shared" si="68"/>
        <v>1526698.54641537</v>
      </c>
      <c r="AL107" s="122">
        <f t="shared" si="1"/>
        <v>107306.0711314634</v>
      </c>
      <c r="AM107" s="122">
        <f>IF($C$25="Ausschütter",0,IF(AL107&gt;=0,(AI107+AJ107)*$C$48*0.7))</f>
        <v>695.50231288911414</v>
      </c>
      <c r="AN107" s="122">
        <f t="shared" si="2"/>
        <v>0</v>
      </c>
      <c r="AO107" s="122">
        <f t="shared" si="39"/>
        <v>695.50231288911414</v>
      </c>
      <c r="AP107" s="122">
        <f t="shared" si="69"/>
        <v>8471.6159751992309</v>
      </c>
      <c r="AQ107" s="122">
        <f>IF($C$25="AUSSCHÜTTER",0,IF(AO107*$C$46*$C$49&lt;=$C$47,0,AO107*$C$46*$C$49))</f>
        <v>0</v>
      </c>
      <c r="AR107" s="122">
        <f>IF(AO106*$C$49&gt;$C$47,(AN107)*$C$49*$C$46,IF((AO106+AN107)*$C$49&gt;$C$47,((AO106+AN107)*$C$49-$C$47)*$C$46,0))</f>
        <v>0</v>
      </c>
      <c r="AS107" s="122">
        <f t="shared" si="70"/>
        <v>0</v>
      </c>
      <c r="AT107" s="122">
        <f t="shared" si="40"/>
        <v>430891.77838569693</v>
      </c>
      <c r="AU107" s="122">
        <f t="shared" si="115"/>
        <v>0</v>
      </c>
      <c r="AV107" s="122">
        <f t="shared" si="71"/>
        <v>1526698.54641537</v>
      </c>
      <c r="AW107" s="122">
        <f t="shared" si="41"/>
        <v>0</v>
      </c>
      <c r="AX107" s="130">
        <f t="shared" si="42"/>
        <v>0</v>
      </c>
      <c r="AY107" s="82">
        <f>IF(AF107&lt;$C$11,$C$15*(1+$C$19)^(AF107-$C$10),0)</f>
        <v>0</v>
      </c>
      <c r="AZ107" s="82">
        <f>$C$14*(1+$C$37)^(AF107-$C$10)</f>
        <v>35060.400329394819</v>
      </c>
      <c r="BA107" s="165">
        <f>IF(AF107&lt;$C$11,0,MAX($C$38*AI107,AZ107))</f>
        <v>42581.774258517195</v>
      </c>
      <c r="BB107" s="82">
        <f>IF(AF107&lt;$C$11,0,MAX($C$38*AI107,AZ107))</f>
        <v>42581.774258517195</v>
      </c>
      <c r="BC107" s="136">
        <f>IF($C$39="JA",CT107,DG107)</f>
        <v>11230.942960683909</v>
      </c>
      <c r="BD107" s="82">
        <f t="shared" si="3"/>
        <v>0</v>
      </c>
      <c r="BE107" s="82">
        <f>IF(AF107&lt;($C$8+$C$30),0,$C$29*12*(1-$C$31))</f>
        <v>0</v>
      </c>
      <c r="BF107" s="82">
        <f>IF(AF107&lt;($C$8+$C$34),0,$C$33*12*(1-$C$35))</f>
        <v>0</v>
      </c>
      <c r="BG107" s="82">
        <f>IF(AF107&lt;$C$11,0,IF(AI107&lt;0,$C$42*(1+$C$44)^(AF107-$C$10),IF(((AL107+BE107+BF107)*$C$41)&lt;$C$42*(1+$C$44)^(AF107-$C$10),$C$42*(1+$C$44)^(AF107-$C$10),IF(((AL107+BE107+BF107)*$C$41)&lt;$C$43*(1+$C$44)^(AF107-$C$10),(AL107+BE107+BF107)*$C$41,IF(((AL107+BE107+BF107+BB107)*$C$41)&lt;$C$43*(1+$C$44)^(AF107-$C$10),((AL107+BE107+BF107+BB107)*$C$41),$C$43*(1+$C$44)^(AF107-$C$10))))))</f>
        <v>16143.841916307376</v>
      </c>
      <c r="BH107" s="82">
        <f t="shared" si="72"/>
        <v>69956.559135508476</v>
      </c>
      <c r="BI107" s="242">
        <f t="shared" si="73"/>
        <v>1526698.54641537</v>
      </c>
      <c r="BJ107" s="217">
        <f t="shared" si="74"/>
        <v>1456741.9872798615</v>
      </c>
      <c r="BK107" s="118"/>
      <c r="BL107" s="219">
        <f t="shared" si="4"/>
        <v>11</v>
      </c>
      <c r="BM107" s="220">
        <f t="shared" si="5"/>
        <v>28</v>
      </c>
      <c r="BN107" s="220">
        <f t="shared" si="121"/>
        <v>0</v>
      </c>
      <c r="BO107" s="221">
        <f t="shared" si="7"/>
        <v>0</v>
      </c>
      <c r="BP107" s="221">
        <f t="shared" si="8"/>
        <v>0</v>
      </c>
      <c r="BQ107" s="222">
        <f t="shared" si="9"/>
        <v>0</v>
      </c>
      <c r="BR107" s="223">
        <f>IF(BM107&lt;$C$11-$C$10+1,0,IF(BL107&lt;=$C$13,VLOOKUP(BL107,$BN$80:$BQ$156,2,FALSE)-BS107,0))</f>
        <v>37875.053300399166</v>
      </c>
      <c r="BS107" s="223">
        <f>IF(BM107&lt;$C$11-$C$10+1,0,IF(BL107&lt;=$C$13,VLOOKUP(BL107,$BN$80:$BQ$156,3,FALSE),0))</f>
        <v>25050.13555775884</v>
      </c>
      <c r="BT107" s="222">
        <f>IF(BM107&lt;$C$11-$C$10+1,0,IF(BL107&lt;=$C$13,VLOOKUP(BL107,$BN$80:$BQ$156,4,FALSE),0))</f>
        <v>1.5119699936580995</v>
      </c>
      <c r="BU107" s="223">
        <f t="shared" si="43"/>
        <v>67509.385846340665</v>
      </c>
      <c r="BV107" s="223">
        <f t="shared" si="44"/>
        <v>0</v>
      </c>
      <c r="BW107" s="223">
        <f t="shared" si="118"/>
        <v>67509.385846340665</v>
      </c>
      <c r="BX107" s="223">
        <f>IF(AND(BS107&lt;=0,BN107=0),MIN((MAX($BZ$80:$BZ$156)-SUM($BX$80:BX106)),CA107),IF(BS107&lt;CA107,BS107,CA107))</f>
        <v>25050.13555775884</v>
      </c>
      <c r="BY107" s="222">
        <f>IF(BN107&gt;0,0,IF(AND(BN107=0,BT107&lt;=0),100%,((BW106*(AVERAGE($BT$80:BT106))+(BR107*BT107))/(BR107+BW106+BS107+BV106))))</f>
        <v>0.62031736180112851</v>
      </c>
      <c r="BZ107" s="139">
        <f t="shared" si="46"/>
        <v>430891.77838569693</v>
      </c>
      <c r="CA107" s="122">
        <f t="shared" si="10"/>
        <v>42581.774258517195</v>
      </c>
      <c r="CB107" s="181">
        <f t="shared" si="47"/>
        <v>0.62031736180112851</v>
      </c>
      <c r="CC107" s="122">
        <f t="shared" si="48"/>
        <v>496617.84138145711</v>
      </c>
      <c r="CD107" s="182">
        <f t="shared" si="119"/>
        <v>25050.13555775884</v>
      </c>
      <c r="CE107" s="122">
        <f>CD107+CE106</f>
        <v>284229.90045958443</v>
      </c>
      <c r="CF107" s="122">
        <f>BZ107-CE107</f>
        <v>146661.8779261125</v>
      </c>
      <c r="CG107" s="182" t="str">
        <f t="shared" si="12"/>
        <v>JA</v>
      </c>
      <c r="CH107" s="183">
        <f t="shared" si="13"/>
        <v>0.62031736180112851</v>
      </c>
      <c r="CI107" s="142">
        <f t="shared" si="77"/>
        <v>9984</v>
      </c>
      <c r="CJ107" s="134">
        <f>CI107*$C$57</f>
        <v>0</v>
      </c>
      <c r="CK107" s="142">
        <f t="shared" si="78"/>
        <v>14926</v>
      </c>
      <c r="CL107" s="134">
        <f>CK107*$C$57</f>
        <v>0</v>
      </c>
      <c r="CM107" s="142">
        <f t="shared" si="79"/>
        <v>58596</v>
      </c>
      <c r="CN107" s="134">
        <f>CM107*$C$57</f>
        <v>0</v>
      </c>
      <c r="CO107" s="132">
        <f t="shared" si="117"/>
        <v>26414.213868854593</v>
      </c>
      <c r="CP107" s="140">
        <f t="shared" si="14"/>
        <v>0.28735238141501779</v>
      </c>
      <c r="CQ107" s="121" t="str">
        <f>IF($C$50="NEIN","NEIN",IF(CS107&lt;CR107,"JA","NEIN"))</f>
        <v>NEIN</v>
      </c>
      <c r="CR107" s="121">
        <f>CO107*$C$46</f>
        <v>6966.7489079103989</v>
      </c>
      <c r="CS107" s="121">
        <f t="shared" si="15"/>
        <v>3964.4092335802798</v>
      </c>
      <c r="CT107" s="201">
        <f>IF($C$50="NEIN",CR107,IF(CQ107="NEIN",CR107,CS107))</f>
        <v>6966.7489079103989</v>
      </c>
      <c r="CU107" s="149"/>
      <c r="CV107" s="202">
        <f t="shared" si="80"/>
        <v>9984</v>
      </c>
      <c r="CW107" s="134">
        <f>CV107*$C$57</f>
        <v>0</v>
      </c>
      <c r="CX107" s="142">
        <f t="shared" si="81"/>
        <v>14926</v>
      </c>
      <c r="CY107" s="134">
        <f>CX107*$C$57</f>
        <v>0</v>
      </c>
      <c r="CZ107" s="142">
        <f t="shared" si="82"/>
        <v>58596</v>
      </c>
      <c r="DA107" s="143">
        <f>CZ107*$C$57</f>
        <v>0</v>
      </c>
      <c r="DB107" s="165">
        <f t="shared" si="120"/>
        <v>42581.774258517195</v>
      </c>
      <c r="DC107" s="140">
        <f t="shared" si="50"/>
        <v>0.3539921998290152</v>
      </c>
      <c r="DD107" s="121" t="str">
        <f>IF($C$50="NEIN","NEIN",IF(DF107&lt;DE107,"JA","NEIN"))</f>
        <v>NEIN</v>
      </c>
      <c r="DE107" s="121">
        <f>DB107*$C$46</f>
        <v>11230.942960683909</v>
      </c>
      <c r="DF107" s="121">
        <f t="shared" si="17"/>
        <v>9146.1921203872826</v>
      </c>
      <c r="DG107" s="201">
        <f>IF($C$50="NEIN",DE107,IF(DD107="NEIN",DE107,DF107))</f>
        <v>11230.942960683909</v>
      </c>
      <c r="DH107" s="159"/>
      <c r="DI107" s="74"/>
      <c r="DJ107" s="74"/>
      <c r="DK107" s="128"/>
      <c r="DL107" s="128"/>
      <c r="DM107" s="128"/>
      <c r="DN107" s="74"/>
      <c r="DO107" s="28">
        <f t="shared" si="83"/>
        <v>2048</v>
      </c>
      <c r="DP107" s="17">
        <f>IF($C$13+$C$10&gt;=DO107,-AG107,IF(DO107=$C$13+$C$10+1,$EK$93,0))</f>
        <v>0</v>
      </c>
      <c r="DQ107" s="17">
        <f t="shared" si="84"/>
        <v>723853.66766531637</v>
      </c>
      <c r="DR107" s="17">
        <f t="shared" si="85"/>
        <v>1499146.5981991249</v>
      </c>
      <c r="DS107" s="17">
        <f t="shared" si="51"/>
        <v>25157.522066461461</v>
      </c>
      <c r="DT107" s="17">
        <f t="shared" si="18"/>
        <v>1631005.4086841773</v>
      </c>
      <c r="DU107" s="17">
        <f t="shared" si="86"/>
        <v>106701.28841859102</v>
      </c>
      <c r="DV107" s="33">
        <f t="shared" si="19"/>
        <v>746.90901893013734</v>
      </c>
      <c r="DW107" s="32">
        <f t="shared" si="20"/>
        <v>32620.108173683548</v>
      </c>
      <c r="DX107" s="17">
        <f t="shared" si="87"/>
        <v>0</v>
      </c>
      <c r="DY107" s="17">
        <f t="shared" si="88"/>
        <v>0</v>
      </c>
      <c r="DZ107" s="17">
        <f t="shared" si="21"/>
        <v>0</v>
      </c>
      <c r="EA107" s="17">
        <f t="shared" si="53"/>
        <v>5811.2237215663245</v>
      </c>
      <c r="EB107" s="15">
        <f t="shared" si="54"/>
        <v>26808.884452117221</v>
      </c>
      <c r="EC107" s="15">
        <f>IF(DP107=0,EC106,IF(DO107&lt;=$EK$88+$C$10,ABS(DP107)+EC106,EC106))</f>
        <v>430891.77838569693</v>
      </c>
      <c r="ED107" s="15">
        <f t="shared" si="89"/>
        <v>65311.05636881425</v>
      </c>
      <c r="EE107" s="16">
        <f t="shared" si="90"/>
        <v>1631005.4086841773</v>
      </c>
      <c r="EF107" s="15">
        <f t="shared" si="22"/>
        <v>25157.522066461461</v>
      </c>
      <c r="EG107" s="15">
        <f t="shared" si="91"/>
        <v>292961.88927961962</v>
      </c>
      <c r="EH107" s="16"/>
      <c r="EI107" s="16"/>
      <c r="EJ107"/>
      <c r="EK107"/>
      <c r="EL107"/>
      <c r="EM107" s="28">
        <f t="shared" si="92"/>
        <v>2048</v>
      </c>
      <c r="EN107" s="29">
        <f>IF($C$13+$C$10&gt;=EM107,-(AG107),IF(EM107=$C$13+$C$10+1,$FB$93,0))</f>
        <v>0</v>
      </c>
      <c r="EO107" s="30">
        <f t="shared" si="93"/>
        <v>430891.77838569693</v>
      </c>
      <c r="EP107" s="30">
        <f t="shared" si="94"/>
        <v>1628583.3532185289</v>
      </c>
      <c r="EQ107" s="30">
        <f t="shared" si="56"/>
        <v>0</v>
      </c>
      <c r="ER107" s="25">
        <f t="shared" si="23"/>
        <v>1742584.187943826</v>
      </c>
      <c r="ES107" s="30">
        <f t="shared" si="95"/>
        <v>114000.83472529706</v>
      </c>
      <c r="ET107" s="26">
        <f t="shared" si="24"/>
        <v>798.00584307707913</v>
      </c>
      <c r="EU107" s="30">
        <f t="shared" si="96"/>
        <v>798.00584307707913</v>
      </c>
      <c r="EV107" s="25">
        <f t="shared" si="25"/>
        <v>0</v>
      </c>
      <c r="EW107" s="31">
        <f t="shared" si="97"/>
        <v>9181.8468669068952</v>
      </c>
      <c r="EX107" s="27">
        <f>IF(EM107=0,EX106,IF(EM107&lt;=$FB$88+$C$10,ABS(EN107)+EX106,EX106))</f>
        <v>430891.77838569693</v>
      </c>
      <c r="EY107" s="15"/>
      <c r="EZ107"/>
      <c r="FA107"/>
      <c r="FB107"/>
      <c r="FC107" s="74"/>
      <c r="FD107" s="74"/>
      <c r="FE107" s="74"/>
      <c r="FF107" s="74"/>
      <c r="FG107" s="74"/>
      <c r="FH107" s="74"/>
      <c r="FI107" s="74"/>
      <c r="FJ107" s="28">
        <f t="shared" si="98"/>
        <v>2048</v>
      </c>
      <c r="FK107" s="65">
        <f>IF($C$13+$C$10&gt;=FJ107,-AG107,IF(FJ107=$C$13+$C$10+1,$EK$93,0))</f>
        <v>0</v>
      </c>
      <c r="FL107" s="65">
        <f t="shared" si="99"/>
        <v>74118.803999999975</v>
      </c>
      <c r="FM107" s="65">
        <f t="shared" si="100"/>
        <v>254515.53834963613</v>
      </c>
      <c r="FN107" s="65">
        <f t="shared" si="59"/>
        <v>0</v>
      </c>
      <c r="FO107" s="65">
        <f t="shared" si="26"/>
        <v>272331.62603411067</v>
      </c>
      <c r="FP107" s="65">
        <f t="shared" si="101"/>
        <v>17816.087684474536</v>
      </c>
      <c r="FQ107" s="59">
        <f t="shared" si="27"/>
        <v>124.7126137913217</v>
      </c>
      <c r="FR107" s="60">
        <f t="shared" si="28"/>
        <v>5446.6325206822139</v>
      </c>
      <c r="FS107" s="65">
        <f t="shared" si="102"/>
        <v>0</v>
      </c>
      <c r="FT107" s="65">
        <f t="shared" si="103"/>
        <v>0</v>
      </c>
      <c r="FU107" s="65">
        <f t="shared" si="29"/>
        <v>0</v>
      </c>
      <c r="FV107" s="65">
        <f t="shared" si="61"/>
        <v>794.32077913095361</v>
      </c>
      <c r="FW107" s="61">
        <f t="shared" si="62"/>
        <v>4652.3117415512606</v>
      </c>
      <c r="FX107" s="61">
        <f>IF(AND(FJ107&lt;=$GF$88+$C$10,FV106&lt;=0,FN107&gt;0),(FJ107-$C$10+1)*AG107+$GF$80,FX106)</f>
        <v>73074.599999999977</v>
      </c>
      <c r="FY107" s="62">
        <f t="shared" si="63"/>
        <v>3.7598536385487509</v>
      </c>
      <c r="FZ107" s="63">
        <f t="shared" si="104"/>
        <v>272331.62603411067</v>
      </c>
      <c r="GA107" s="64">
        <f t="shared" si="105"/>
        <v>5194.1946601966556</v>
      </c>
      <c r="GB107" s="64">
        <f t="shared" si="106"/>
        <v>79433.95298523063</v>
      </c>
      <c r="GC107" s="66">
        <f t="shared" si="30"/>
        <v>0</v>
      </c>
      <c r="GD107" s="64">
        <f t="shared" si="107"/>
        <v>1580.6039999999994</v>
      </c>
      <c r="GE107"/>
      <c r="GF107"/>
      <c r="GG107" s="74"/>
      <c r="GH107" s="74"/>
      <c r="GI107" s="28">
        <f t="shared" si="108"/>
        <v>2048</v>
      </c>
      <c r="GJ107" s="9">
        <f>IF($GX$88+$C$10&gt;=GI107,-AG107,IF(GI107=$GX$88+$C$10+1,$FB$93,0))</f>
        <v>0</v>
      </c>
      <c r="GK107" s="5">
        <f t="shared" si="109"/>
        <v>425914.76538505935</v>
      </c>
      <c r="GL107" s="5">
        <f t="shared" si="110"/>
        <v>1350168.3212267798</v>
      </c>
      <c r="GM107" s="35">
        <f t="shared" si="65"/>
        <v>4332.3263286371175</v>
      </c>
      <c r="GN107" s="4">
        <f t="shared" si="31"/>
        <v>1449315.6928842962</v>
      </c>
      <c r="GO107" s="5">
        <f t="shared" si="111"/>
        <v>94815.045328879263</v>
      </c>
      <c r="GP107" s="5">
        <f t="shared" si="32"/>
        <v>663.70531730215419</v>
      </c>
      <c r="GQ107" s="5">
        <f t="shared" si="112"/>
        <v>663.70531730215419</v>
      </c>
      <c r="GR107" s="4">
        <f t="shared" si="33"/>
        <v>122.53659420691019</v>
      </c>
      <c r="GS107" s="7">
        <f t="shared" si="113"/>
        <v>7163.8064924946502</v>
      </c>
      <c r="GT107" s="107" t="e">
        <f>IF($DG$62=0,EX107,IF(GI107-$C$10+1&lt;=$GF$98,0,#REF!-FX107))</f>
        <v>#REF!</v>
      </c>
      <c r="GU107"/>
      <c r="GV107"/>
      <c r="GW107"/>
      <c r="GX107"/>
      <c r="GY107" s="74"/>
      <c r="GZ107" s="74"/>
      <c r="HA107" s="74"/>
      <c r="HB107" s="74"/>
      <c r="HC107" s="74"/>
      <c r="HD107" s="74"/>
    </row>
    <row r="108" spans="1:212" ht="16.149999999999999" thickBot="1" x14ac:dyDescent="0.55000000000000004">
      <c r="B108" s="333"/>
      <c r="C108" s="75"/>
      <c r="D108" s="75"/>
      <c r="F108" s="75"/>
      <c r="G108" s="75"/>
      <c r="H108" s="75"/>
      <c r="I108" s="75"/>
      <c r="J108" s="75"/>
      <c r="K108" s="75"/>
      <c r="L108" s="75"/>
      <c r="M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AB108" s="117" t="str">
        <f t="shared" si="34"/>
        <v/>
      </c>
      <c r="AC108" s="117" t="str">
        <f t="shared" si="35"/>
        <v/>
      </c>
      <c r="AD108" s="299">
        <f>IF($C$20="NEIN",$C$21,IF($C$22="JA",'HISTORISCHE RENDITEN'!E32,'HISTORISCHE RENDITEN'!D32))</f>
        <v>0.17949999999999999</v>
      </c>
      <c r="AE108" s="129">
        <f t="shared" si="122"/>
        <v>56</v>
      </c>
      <c r="AF108" s="120">
        <f t="shared" si="37"/>
        <v>2049</v>
      </c>
      <c r="AG108" s="122">
        <f t="shared" si="0"/>
        <v>0</v>
      </c>
      <c r="AH108" s="124">
        <f t="shared" si="38"/>
        <v>430891.77838569693</v>
      </c>
      <c r="AI108" s="296">
        <f t="shared" si="114"/>
        <v>1456741.9872798615</v>
      </c>
      <c r="AJ108" s="123">
        <f t="shared" si="67"/>
        <v>0</v>
      </c>
      <c r="AK108" s="124">
        <f t="shared" si="68"/>
        <v>1718227.1739965966</v>
      </c>
      <c r="AL108" s="122">
        <f t="shared" si="1"/>
        <v>261485.18671673513</v>
      </c>
      <c r="AM108" s="122">
        <f>IF($C$25="Ausschütter",0,IF(AL108&gt;=0,(AI108+AJ108)*$C$48*0.7))</f>
        <v>713.80357376713209</v>
      </c>
      <c r="AN108" s="122">
        <f t="shared" si="2"/>
        <v>0</v>
      </c>
      <c r="AO108" s="122">
        <f t="shared" si="39"/>
        <v>713.80357376713209</v>
      </c>
      <c r="AP108" s="122">
        <f t="shared" si="69"/>
        <v>9185.4195489663634</v>
      </c>
      <c r="AQ108" s="122">
        <f>IF($C$25="AUSSCHÜTTER",0,IF(AO108*$C$46*$C$49&lt;=$C$47,0,AO108*$C$46*$C$49))</f>
        <v>0</v>
      </c>
      <c r="AR108" s="122">
        <f>IF(AO107*$C$49&gt;$C$47,(AN108)*$C$49*$C$46,IF((AO107+AN108)*$C$49&gt;$C$47,((AO107+AN108)*$C$49-$C$47)*$C$46,0))</f>
        <v>0</v>
      </c>
      <c r="AS108" s="122">
        <f t="shared" si="70"/>
        <v>0</v>
      </c>
      <c r="AT108" s="122">
        <f t="shared" si="40"/>
        <v>430891.77838569693</v>
      </c>
      <c r="AU108" s="122">
        <f t="shared" si="115"/>
        <v>0</v>
      </c>
      <c r="AV108" s="122">
        <f t="shared" si="71"/>
        <v>1718227.1739965966</v>
      </c>
      <c r="AW108" s="122">
        <f t="shared" si="41"/>
        <v>0</v>
      </c>
      <c r="AX108" s="130">
        <f t="shared" si="42"/>
        <v>0</v>
      </c>
      <c r="AY108" s="82">
        <f>IF(AF108&lt;$C$11,$C$15*(1+$C$19)^(AF108-$C$10),0)</f>
        <v>0</v>
      </c>
      <c r="AZ108" s="82">
        <f>$C$14*(1+$C$37)^(AF108-$C$10)</f>
        <v>35936.910337629684</v>
      </c>
      <c r="BA108" s="165">
        <f>IF(AF108&lt;$C$11,0,MAX($C$38*AI108,AZ108))</f>
        <v>43702.259618395845</v>
      </c>
      <c r="BB108" s="82">
        <f>IF(AF108&lt;$C$11,0,MAX($C$38*AI108,AZ108))</f>
        <v>43702.259618395845</v>
      </c>
      <c r="BC108" s="136">
        <f>IF($C$39="JA",CT108,DG108)</f>
        <v>11526.470974351903</v>
      </c>
      <c r="BD108" s="82">
        <f t="shared" si="3"/>
        <v>0</v>
      </c>
      <c r="BE108" s="82">
        <f>IF(AF108&lt;($C$8+$C$30),0,$C$29*12*(1-$C$31))</f>
        <v>0</v>
      </c>
      <c r="BF108" s="82">
        <f>IF(AF108&lt;($C$8+$C$34),0,$C$33*12*(1-$C$35))</f>
        <v>0</v>
      </c>
      <c r="BG108" s="82">
        <f>IF(AF108&lt;$C$11,0,IF(AI108&lt;0,$C$42*(1+$C$44)^(AF108-$C$10),IF(((AL108+BE108+BF108)*$C$41)&lt;$C$42*(1+$C$44)^(AF108-$C$10),$C$42*(1+$C$44)^(AF108-$C$10),IF(((AL108+BE108+BF108)*$C$41)&lt;$C$43*(1+$C$44)^(AF108-$C$10),(AL108+BE108+BF108)*$C$41,IF(((AL108+BE108+BF108+BB108)*$C$41)&lt;$C$43*(1+$C$44)^(AF108-$C$10),((AL108+BE108+BF108+BB108)*$C$41),$C$43*(1+$C$44)^(AF108-$C$10))))))</f>
        <v>16385.999545051982</v>
      </c>
      <c r="BH108" s="82">
        <f t="shared" si="72"/>
        <v>71614.730137799721</v>
      </c>
      <c r="BI108" s="242">
        <f t="shared" si="73"/>
        <v>1718227.1739965966</v>
      </c>
      <c r="BJ108" s="217">
        <f t="shared" si="74"/>
        <v>1646612.443858797</v>
      </c>
      <c r="BK108" s="118"/>
      <c r="BL108" s="219">
        <f t="shared" si="4"/>
        <v>12</v>
      </c>
      <c r="BM108" s="220">
        <f t="shared" si="5"/>
        <v>29</v>
      </c>
      <c r="BN108" s="220">
        <f t="shared" si="121"/>
        <v>0</v>
      </c>
      <c r="BO108" s="221">
        <f t="shared" si="7"/>
        <v>0</v>
      </c>
      <c r="BP108" s="221">
        <f t="shared" si="8"/>
        <v>0</v>
      </c>
      <c r="BQ108" s="222">
        <f t="shared" si="9"/>
        <v>0</v>
      </c>
      <c r="BR108" s="223">
        <f>IF(BM108&lt;$C$11-$C$10+1,0,IF(BL108&lt;=$C$13,VLOOKUP(BL108,$BN$80:$BQ$156,2,FALSE)-BS108,0))</f>
        <v>43077.312299188066</v>
      </c>
      <c r="BS108" s="223">
        <f>IF(BM108&lt;$C$11-$C$10+1,0,IF(BL108&lt;=$C$13,VLOOKUP(BL108,$BN$80:$BQ$156,3,FALSE),0))</f>
        <v>24880.580331112476</v>
      </c>
      <c r="BT108" s="222">
        <f>IF(BM108&lt;$C$11-$C$10+1,0,IF(BL108&lt;=$C$13,VLOOKUP(BL108,$BN$80:$BQ$156,4,FALSE),0))</f>
        <v>1.7313628430652432</v>
      </c>
      <c r="BU108" s="223">
        <f t="shared" si="43"/>
        <v>91765.01885824537</v>
      </c>
      <c r="BV108" s="223">
        <f t="shared" si="44"/>
        <v>0</v>
      </c>
      <c r="BW108" s="223">
        <f t="shared" si="118"/>
        <v>91765.01885824537</v>
      </c>
      <c r="BX108" s="223">
        <f>IF(AND(BS108&lt;=0,BN108=0),MIN((MAX($BZ$80:$BZ$156)-SUM($BX$80:BX107)),CA108),IF(BS108&lt;CA108,BS108,CA108))</f>
        <v>24880.580331112476</v>
      </c>
      <c r="BY108" s="222">
        <f>IF(BN108&gt;0,0,IF(AND(BN108=0,BT108&lt;=0),100%,((BW107*(AVERAGE($BT$80:BT107))+(BR108*BT108))/(BR108+BW107+BS108+BV107))))</f>
        <v>0.68979960067857071</v>
      </c>
      <c r="BZ108" s="139">
        <f t="shared" si="46"/>
        <v>430891.77838569693</v>
      </c>
      <c r="CA108" s="122">
        <f t="shared" si="10"/>
        <v>43702.259618395845</v>
      </c>
      <c r="CB108" s="181">
        <f t="shared" si="47"/>
        <v>0.68979960067857071</v>
      </c>
      <c r="CC108" s="122">
        <f t="shared" si="48"/>
        <v>540320.10099985299</v>
      </c>
      <c r="CD108" s="182">
        <f t="shared" si="119"/>
        <v>24880.580331112476</v>
      </c>
      <c r="CE108" s="122">
        <f t="shared" si="75"/>
        <v>309110.48079069692</v>
      </c>
      <c r="CF108" s="122">
        <f>BZ108-CE108</f>
        <v>121781.29759500001</v>
      </c>
      <c r="CG108" s="182" t="str">
        <f t="shared" si="12"/>
        <v>JA</v>
      </c>
      <c r="CH108" s="183">
        <f t="shared" si="13"/>
        <v>0.68979960067857071</v>
      </c>
      <c r="CI108" s="142">
        <f t="shared" si="77"/>
        <v>9984</v>
      </c>
      <c r="CJ108" s="134">
        <f>CI108*$C$57</f>
        <v>0</v>
      </c>
      <c r="CK108" s="142">
        <f t="shared" si="78"/>
        <v>14926</v>
      </c>
      <c r="CL108" s="134">
        <f>CK108*$C$57</f>
        <v>0</v>
      </c>
      <c r="CM108" s="142">
        <f t="shared" si="79"/>
        <v>58596</v>
      </c>
      <c r="CN108" s="134">
        <f>CM108*$C$57</f>
        <v>0</v>
      </c>
      <c r="CO108" s="132">
        <f t="shared" si="117"/>
        <v>30145.80123352068</v>
      </c>
      <c r="CP108" s="140">
        <f t="shared" si="14"/>
        <v>0.30273332315167673</v>
      </c>
      <c r="CQ108" s="121" t="str">
        <f>IF($C$50="NEIN","NEIN",IF(CS108&lt;CR108,"JA","NEIN"))</f>
        <v>NEIN</v>
      </c>
      <c r="CR108" s="121">
        <f>CO108*$C$46</f>
        <v>7950.9550753410786</v>
      </c>
      <c r="CS108" s="121">
        <f t="shared" si="15"/>
        <v>5064.6056579291626</v>
      </c>
      <c r="CT108" s="201">
        <f>IF($C$50="NEIN",CR108,IF(CQ108="NEIN",CR108,CS108))</f>
        <v>7950.9550753410786</v>
      </c>
      <c r="CU108" s="149"/>
      <c r="CV108" s="202">
        <f t="shared" si="80"/>
        <v>9984</v>
      </c>
      <c r="CW108" s="134">
        <f>CV108*$C$57</f>
        <v>0</v>
      </c>
      <c r="CX108" s="142">
        <f t="shared" si="81"/>
        <v>14926</v>
      </c>
      <c r="CY108" s="134">
        <f>CX108*$C$57</f>
        <v>0</v>
      </c>
      <c r="CZ108" s="142">
        <f t="shared" si="82"/>
        <v>58596</v>
      </c>
      <c r="DA108" s="143">
        <f>CZ108*$C$57</f>
        <v>0</v>
      </c>
      <c r="DB108" s="165">
        <f t="shared" si="120"/>
        <v>43702.259618395845</v>
      </c>
      <c r="DC108" s="140">
        <f t="shared" si="50"/>
        <v>0.35861064188942643</v>
      </c>
      <c r="DD108" s="121" t="str">
        <f>IF($C$50="NEIN","NEIN",IF(DF108&lt;DE108,"JA","NEIN"))</f>
        <v>NEIN</v>
      </c>
      <c r="DE108" s="121">
        <f>DB108*$C$46</f>
        <v>11526.470974351903</v>
      </c>
      <c r="DF108" s="121">
        <f t="shared" si="17"/>
        <v>9545.3007672434305</v>
      </c>
      <c r="DG108" s="201">
        <f>IF($C$50="NEIN",DE108,IF(DD108="NEIN",DE108,DF108))</f>
        <v>11526.470974351903</v>
      </c>
      <c r="DH108" s="159"/>
      <c r="DI108" s="74"/>
      <c r="DJ108" s="74"/>
      <c r="DK108" s="128"/>
      <c r="DL108" s="128"/>
      <c r="DM108" s="128"/>
      <c r="DN108" s="74"/>
      <c r="DO108" s="28">
        <f t="shared" si="83"/>
        <v>2049</v>
      </c>
      <c r="DP108" s="17">
        <f>IF($C$13+$C$10&gt;=DO108,-AG108,IF(DO108=$C$13+$C$10+1,$EK$93,0))</f>
        <v>0</v>
      </c>
      <c r="DQ108" s="17">
        <f t="shared" si="84"/>
        <v>750662.55211743363</v>
      </c>
      <c r="DR108" s="17">
        <f t="shared" si="85"/>
        <v>1598385.3005104938</v>
      </c>
      <c r="DS108" s="17">
        <f t="shared" si="51"/>
        <v>26808.884452117221</v>
      </c>
      <c r="DT108" s="17">
        <f t="shared" si="18"/>
        <v>1738957.7779099939</v>
      </c>
      <c r="DU108" s="17">
        <f t="shared" si="86"/>
        <v>113763.59294738295</v>
      </c>
      <c r="DV108" s="33">
        <f t="shared" si="19"/>
        <v>796.3451506316793</v>
      </c>
      <c r="DW108" s="32">
        <f t="shared" si="20"/>
        <v>34779.155558199876</v>
      </c>
      <c r="DX108" s="17">
        <f t="shared" si="87"/>
        <v>0</v>
      </c>
      <c r="DY108" s="17">
        <f t="shared" si="88"/>
        <v>0</v>
      </c>
      <c r="DZ108" s="17">
        <f t="shared" si="21"/>
        <v>0</v>
      </c>
      <c r="EA108" s="17">
        <f t="shared" si="53"/>
        <v>6209.8378449326519</v>
      </c>
      <c r="EB108" s="15">
        <f t="shared" si="54"/>
        <v>28569.317713267224</v>
      </c>
      <c r="EC108" s="15">
        <f>IF(DP108=0,EC107,IF(DO108&lt;=$EK$88+$C$10,ABS(DP108)+EC107,EC107))</f>
        <v>430891.77838569693</v>
      </c>
      <c r="ED108" s="15">
        <f t="shared" si="89"/>
        <v>71520.894213746898</v>
      </c>
      <c r="EE108" s="16">
        <f t="shared" si="90"/>
        <v>1738957.7779099939</v>
      </c>
      <c r="EF108" s="15">
        <f t="shared" si="22"/>
        <v>26808.884452117221</v>
      </c>
      <c r="EG108" s="15">
        <f t="shared" si="91"/>
        <v>319770.77373173682</v>
      </c>
      <c r="EH108" s="16"/>
      <c r="EI108" s="16"/>
      <c r="EJ108"/>
      <c r="EK108"/>
      <c r="EL108"/>
      <c r="EM108" s="28">
        <f t="shared" si="92"/>
        <v>2049</v>
      </c>
      <c r="EN108" s="29">
        <f>IF($C$13+$C$10&gt;=EM108,-(AG108),IF(EM108=$C$13+$C$10+1,$FB$93,0))</f>
        <v>0</v>
      </c>
      <c r="EO108" s="30">
        <f t="shared" si="93"/>
        <v>430891.77838569693</v>
      </c>
      <c r="EP108" s="30">
        <f t="shared" si="94"/>
        <v>1742584.187943826</v>
      </c>
      <c r="EQ108" s="30">
        <f t="shared" si="56"/>
        <v>0</v>
      </c>
      <c r="ER108" s="25">
        <f t="shared" si="23"/>
        <v>1864565.0810998939</v>
      </c>
      <c r="ES108" s="30">
        <f t="shared" si="95"/>
        <v>121980.89315606793</v>
      </c>
      <c r="ET108" s="26">
        <f t="shared" si="24"/>
        <v>853.86625209247472</v>
      </c>
      <c r="EU108" s="30">
        <f t="shared" si="96"/>
        <v>853.86625209247472</v>
      </c>
      <c r="EV108" s="25">
        <f t="shared" si="25"/>
        <v>0</v>
      </c>
      <c r="EW108" s="31">
        <f t="shared" si="97"/>
        <v>10035.713118999371</v>
      </c>
      <c r="EX108" s="27">
        <f>IF(EM108=0,EX107,IF(EM108&lt;=$FB$88+$C$10,ABS(EN108)+EX107,EX107))</f>
        <v>430891.77838569693</v>
      </c>
      <c r="EY108" s="15"/>
      <c r="EZ108"/>
      <c r="FA108"/>
      <c r="FB108"/>
      <c r="FC108" s="74"/>
      <c r="FD108" s="74"/>
      <c r="FE108" s="74"/>
      <c r="FF108" s="74"/>
      <c r="FG108" s="74"/>
      <c r="FH108" s="74"/>
      <c r="FI108" s="74"/>
      <c r="FJ108" s="28">
        <f t="shared" si="98"/>
        <v>2049</v>
      </c>
      <c r="FK108" s="65">
        <f>IF($C$13+$C$10&gt;=FJ108,-AG108,IF(FJ108=$C$13+$C$10+1,$EK$93,0))</f>
        <v>0</v>
      </c>
      <c r="FL108" s="65">
        <f t="shared" si="99"/>
        <v>74118.803999999975</v>
      </c>
      <c r="FM108" s="65">
        <f>FO107-FR107</f>
        <v>266884.99351342843</v>
      </c>
      <c r="FN108" s="65">
        <f t="shared" si="59"/>
        <v>0</v>
      </c>
      <c r="FO108" s="65">
        <f t="shared" si="26"/>
        <v>285566.94305936847</v>
      </c>
      <c r="FP108" s="65">
        <f t="shared" si="101"/>
        <v>18681.949545940035</v>
      </c>
      <c r="FQ108" s="59">
        <f t="shared" si="27"/>
        <v>130.77364682157992</v>
      </c>
      <c r="FR108" s="60">
        <f t="shared" si="28"/>
        <v>5711.3388611873697</v>
      </c>
      <c r="FS108" s="65">
        <f t="shared" si="102"/>
        <v>0</v>
      </c>
      <c r="FT108" s="65">
        <f t="shared" si="103"/>
        <v>0</v>
      </c>
      <c r="FU108" s="65">
        <f t="shared" si="29"/>
        <v>0</v>
      </c>
      <c r="FV108" s="65">
        <f t="shared" si="61"/>
        <v>843.19218724671805</v>
      </c>
      <c r="FW108" s="61">
        <f t="shared" si="62"/>
        <v>4868.1466739406515</v>
      </c>
      <c r="FX108" s="61">
        <f>IF(AND(FJ108&lt;=$GF$88+$C$10,FV107&lt;=0,FN108&gt;0),(FJ108-$C$10+1)*AG108+$GF$80,FX107)</f>
        <v>73074.599999999977</v>
      </c>
      <c r="FY108" s="62">
        <f t="shared" si="63"/>
        <v>3.9911825253822206</v>
      </c>
      <c r="FZ108" s="63">
        <f>FO108</f>
        <v>285566.94305936847</v>
      </c>
      <c r="GA108" s="64">
        <f t="shared" si="105"/>
        <v>5446.6325206822139</v>
      </c>
      <c r="GB108" s="64">
        <f t="shared" si="106"/>
        <v>84880.585505912837</v>
      </c>
      <c r="GC108" s="66">
        <f t="shared" si="30"/>
        <v>0</v>
      </c>
      <c r="GD108" s="64">
        <f t="shared" si="107"/>
        <v>1580.6039999999994</v>
      </c>
      <c r="GE108"/>
      <c r="GF108"/>
      <c r="GG108" s="74"/>
      <c r="GH108" s="74"/>
      <c r="GI108" s="28">
        <f t="shared" si="108"/>
        <v>2049</v>
      </c>
      <c r="GJ108" s="9">
        <f>IF($GX$88+$C$10&gt;=GI108,-AG108,IF(GI108=$GX$88+$C$10+1,$FB$93,0))</f>
        <v>0</v>
      </c>
      <c r="GK108" s="5">
        <f t="shared" si="109"/>
        <v>430444.54053240368</v>
      </c>
      <c r="GL108" s="5">
        <f t="shared" si="110"/>
        <v>1449315.6928842962</v>
      </c>
      <c r="GM108" s="35">
        <f t="shared" si="65"/>
        <v>4529.7751473443504</v>
      </c>
      <c r="GN108" s="4">
        <f t="shared" si="31"/>
        <v>1555614.6507938555</v>
      </c>
      <c r="GO108" s="5">
        <f t="shared" si="111"/>
        <v>101769.18276221491</v>
      </c>
      <c r="GP108" s="5">
        <f t="shared" si="32"/>
        <v>712.38427933550395</v>
      </c>
      <c r="GQ108" s="5">
        <f t="shared" si="112"/>
        <v>712.38427933550395</v>
      </c>
      <c r="GR108" s="4">
        <f t="shared" si="33"/>
        <v>131.52394757231741</v>
      </c>
      <c r="GS108" s="7">
        <f t="shared" si="113"/>
        <v>7876.1907718301545</v>
      </c>
      <c r="GT108" s="107" t="e">
        <f>IF($DG$62=0,EX108,IF(GI108-$C$10+1&lt;=$GF$98,0,#REF!-FX108))</f>
        <v>#REF!</v>
      </c>
      <c r="GU108"/>
      <c r="GV108"/>
      <c r="GW108"/>
      <c r="GX108"/>
      <c r="GY108" s="74"/>
      <c r="GZ108" s="74"/>
      <c r="HA108" s="74"/>
      <c r="HB108" s="74"/>
      <c r="HC108" s="74"/>
      <c r="HD108" s="74"/>
    </row>
    <row r="109" spans="1:212" ht="16.149999999999999" thickBot="1" x14ac:dyDescent="0.55000000000000004">
      <c r="B109" s="333"/>
      <c r="C109" s="75"/>
      <c r="D109" s="75"/>
      <c r="F109" s="75"/>
      <c r="G109" s="75"/>
      <c r="H109" s="75"/>
      <c r="I109" s="75"/>
      <c r="J109" s="75"/>
      <c r="K109" s="75"/>
      <c r="L109" s="75"/>
      <c r="M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AB109" s="117" t="str">
        <f t="shared" si="34"/>
        <v/>
      </c>
      <c r="AC109" s="117" t="str">
        <f t="shared" si="35"/>
        <v/>
      </c>
      <c r="AD109" s="299">
        <f>IF($C$20="NEIN",$C$21,IF($C$22="JA",'HISTORISCHE RENDITEN'!E33,'HISTORISCHE RENDITEN'!D33))</f>
        <v>7.0900000000000005E-2</v>
      </c>
      <c r="AE109" s="129">
        <f t="shared" si="122"/>
        <v>57</v>
      </c>
      <c r="AF109" s="120">
        <f t="shared" si="37"/>
        <v>2050</v>
      </c>
      <c r="AG109" s="122">
        <f t="shared" si="0"/>
        <v>0</v>
      </c>
      <c r="AH109" s="124">
        <f t="shared" si="38"/>
        <v>430891.77838569693</v>
      </c>
      <c r="AI109" s="296">
        <f t="shared" si="114"/>
        <v>1646612.443858797</v>
      </c>
      <c r="AJ109" s="123">
        <f t="shared" si="67"/>
        <v>0</v>
      </c>
      <c r="AK109" s="124">
        <f t="shared" si="68"/>
        <v>1763357.2661283857</v>
      </c>
      <c r="AL109" s="122">
        <f t="shared" si="1"/>
        <v>116744.82226958871</v>
      </c>
      <c r="AM109" s="122">
        <f>IF($C$25="Ausschütter",0,IF(AL109&gt;=0,(AI109+AJ109)*$C$48*0.7))</f>
        <v>806.84009749081042</v>
      </c>
      <c r="AN109" s="122">
        <f t="shared" si="2"/>
        <v>0</v>
      </c>
      <c r="AO109" s="122">
        <f t="shared" si="39"/>
        <v>806.84009749081042</v>
      </c>
      <c r="AP109" s="122">
        <f t="shared" si="69"/>
        <v>9992.2596464571743</v>
      </c>
      <c r="AQ109" s="122">
        <f>IF($C$25="AUSSCHÜTTER",0,IF(AO109*$C$46*$C$49&lt;=$C$47,0,AO109*$C$46*$C$49))</f>
        <v>0</v>
      </c>
      <c r="AR109" s="122">
        <f>IF(AO108*$C$49&gt;$C$47,(AN109)*$C$49*$C$46,IF((AO108+AN109)*$C$49&gt;$C$47,((AO108+AN109)*$C$49-$C$47)*$C$46,0))</f>
        <v>0</v>
      </c>
      <c r="AS109" s="122">
        <f t="shared" si="70"/>
        <v>0</v>
      </c>
      <c r="AT109" s="122">
        <f t="shared" si="40"/>
        <v>430891.77838569693</v>
      </c>
      <c r="AU109" s="122">
        <f t="shared" si="115"/>
        <v>0</v>
      </c>
      <c r="AV109" s="122">
        <f t="shared" si="71"/>
        <v>1763357.2661283857</v>
      </c>
      <c r="AW109" s="122">
        <f t="shared" si="41"/>
        <v>0</v>
      </c>
      <c r="AX109" s="130">
        <f t="shared" si="42"/>
        <v>0</v>
      </c>
      <c r="AY109" s="82">
        <f>IF(AF109&lt;$C$11,$C$15*(1+$C$19)^(AF109-$C$10),0)</f>
        <v>0</v>
      </c>
      <c r="AZ109" s="82">
        <f>$C$14*(1+$C$37)^(AF109-$C$10)</f>
        <v>36835.333096070433</v>
      </c>
      <c r="BA109" s="165">
        <f>IF(AF109&lt;$C$11,0,MAX($C$38*AI109,AZ109))</f>
        <v>49398.373315763907</v>
      </c>
      <c r="BB109" s="82">
        <f>IF(AF109&lt;$C$11,0,MAX($C$38*AI109,AZ109))</f>
        <v>49398.373315763907</v>
      </c>
      <c r="BC109" s="136">
        <f>IF($C$39="JA",CT109,DG109)</f>
        <v>13028.820962032729</v>
      </c>
      <c r="BD109" s="82">
        <f t="shared" si="3"/>
        <v>0</v>
      </c>
      <c r="BE109" s="82">
        <f>IF(AF109&lt;($C$8+$C$30),0,$C$29*12*(1-$C$31))</f>
        <v>0</v>
      </c>
      <c r="BF109" s="82">
        <f>IF(AF109&lt;($C$8+$C$34),0,$C$33*12*(1-$C$35))</f>
        <v>0</v>
      </c>
      <c r="BG109" s="82">
        <f>IF(AF109&lt;$C$11,0,IF(AI109&lt;0,$C$42*(1+$C$44)^(AF109-$C$10),IF(((AL109+BE109+BF109)*$C$41)&lt;$C$42*(1+$C$44)^(AF109-$C$10),$C$42*(1+$C$44)^(AF109-$C$10),IF(((AL109+BE109+BF109)*$C$41)&lt;$C$43*(1+$C$44)^(AF109-$C$10),(AL109+BE109+BF109)*$C$41,IF(((AL109+BE109+BF109+BB109)*$C$41)&lt;$C$43*(1+$C$44)^(AF109-$C$10),((AL109+BE109+BF109+BB109)*$C$41),$C$43*(1+$C$44)^(AF109-$C$10))))))</f>
        <v>16631.78953822776</v>
      </c>
      <c r="BH109" s="82">
        <f t="shared" si="72"/>
        <v>79058.983816024396</v>
      </c>
      <c r="BI109" s="242">
        <f t="shared" si="73"/>
        <v>1763357.2661283857</v>
      </c>
      <c r="BJ109" s="217">
        <f t="shared" si="74"/>
        <v>1684298.2823123613</v>
      </c>
      <c r="BK109" s="118"/>
      <c r="BL109" s="219">
        <f t="shared" si="4"/>
        <v>13</v>
      </c>
      <c r="BM109" s="220">
        <f t="shared" si="5"/>
        <v>30</v>
      </c>
      <c r="BN109" s="220">
        <f t="shared" si="121"/>
        <v>0</v>
      </c>
      <c r="BO109" s="221">
        <f t="shared" si="7"/>
        <v>0</v>
      </c>
      <c r="BP109" s="221">
        <f t="shared" si="8"/>
        <v>0</v>
      </c>
      <c r="BQ109" s="222">
        <f t="shared" si="9"/>
        <v>0</v>
      </c>
      <c r="BR109" s="223">
        <f>IF(BM109&lt;$C$11-$C$10+1,0,IF(BL109&lt;=$C$13,VLOOKUP(BL109,$BN$80:$BQ$156,2,FALSE)-BS109,0))</f>
        <v>48673.970091484342</v>
      </c>
      <c r="BS109" s="223">
        <f>IF(BM109&lt;$C$11-$C$10+1,0,IF(BL109&lt;=$C$13,VLOOKUP(BL109,$BN$80:$BQ$156,3,FALSE),0))</f>
        <v>24708.637094999984</v>
      </c>
      <c r="BT109" s="222">
        <f>IF(BM109&lt;$C$11-$C$10+1,0,IF(BL109&lt;=$C$13,VLOOKUP(BL109,$BN$80:$BQ$156,4,FALSE),0))</f>
        <v>1.9699172359989845</v>
      </c>
      <c r="BU109" s="223">
        <f t="shared" si="43"/>
        <v>115749.25272896579</v>
      </c>
      <c r="BV109" s="223">
        <f t="shared" si="44"/>
        <v>0</v>
      </c>
      <c r="BW109" s="223">
        <f t="shared" si="118"/>
        <v>115749.25272896579</v>
      </c>
      <c r="BX109" s="223">
        <f>IF(AND(BS109&lt;=0,BN109=0),MIN((MAX($BZ$80:$BZ$156)-SUM($BX$80:BX108)),CA109),IF(BS109&lt;CA109,BS109,CA109))</f>
        <v>24708.637094999984</v>
      </c>
      <c r="BY109" s="222">
        <f>IF(BN109&gt;0,0,IF(AND(BN109=0,BT109&lt;=0),100%,((BW108*(AVERAGE($BT$80:BT108))+(BR109*BT109))/(BR109+BW108+BS109+BV108))))</f>
        <v>0.76366954292999978</v>
      </c>
      <c r="BZ109" s="139">
        <f t="shared" si="46"/>
        <v>430891.77838569693</v>
      </c>
      <c r="CA109" s="122">
        <f t="shared" si="10"/>
        <v>49398.373315763907</v>
      </c>
      <c r="CB109" s="181">
        <f t="shared" si="47"/>
        <v>0.76366954292999978</v>
      </c>
      <c r="CC109" s="122">
        <f t="shared" si="48"/>
        <v>589718.47431561688</v>
      </c>
      <c r="CD109" s="182">
        <f t="shared" si="119"/>
        <v>24708.637094999984</v>
      </c>
      <c r="CE109" s="122">
        <f t="shared" si="75"/>
        <v>333819.11788569693</v>
      </c>
      <c r="CF109" s="122">
        <f t="shared" si="76"/>
        <v>97072.660499999998</v>
      </c>
      <c r="CG109" s="182" t="str">
        <f t="shared" si="12"/>
        <v>JA</v>
      </c>
      <c r="CH109" s="183">
        <f t="shared" si="13"/>
        <v>0.76366954292999978</v>
      </c>
      <c r="CI109" s="142">
        <f t="shared" si="77"/>
        <v>9984</v>
      </c>
      <c r="CJ109" s="134">
        <f>CI109*$C$57</f>
        <v>0</v>
      </c>
      <c r="CK109" s="142">
        <f t="shared" si="78"/>
        <v>14926</v>
      </c>
      <c r="CL109" s="134">
        <f>CK109*$C$57</f>
        <v>0</v>
      </c>
      <c r="CM109" s="142">
        <f t="shared" si="79"/>
        <v>58596</v>
      </c>
      <c r="CN109" s="134">
        <f>CM109*$C$57</f>
        <v>0</v>
      </c>
      <c r="CO109" s="132">
        <f t="shared" si="117"/>
        <v>37724.033171534924</v>
      </c>
      <c r="CP109" s="140">
        <f t="shared" si="14"/>
        <v>0.33396945204662892</v>
      </c>
      <c r="CQ109" s="121" t="str">
        <f>IF($C$50="NEIN","NEIN",IF(CS109&lt;CR109,"JA","NEIN"))</f>
        <v>NEIN</v>
      </c>
      <c r="CR109" s="121">
        <f>CO109*$C$46</f>
        <v>9949.7137489923352</v>
      </c>
      <c r="CS109" s="121">
        <f t="shared" si="15"/>
        <v>7475.849129548068</v>
      </c>
      <c r="CT109" s="201">
        <f>IF($C$50="NEIN",CR109,IF(CQ109="NEIN",CR109,CS109))</f>
        <v>9949.7137489923352</v>
      </c>
      <c r="CU109" s="149"/>
      <c r="CV109" s="202">
        <f t="shared" si="80"/>
        <v>9984</v>
      </c>
      <c r="CW109" s="134">
        <f>CV109*$C$57</f>
        <v>0</v>
      </c>
      <c r="CX109" s="142">
        <f t="shared" si="81"/>
        <v>14926</v>
      </c>
      <c r="CY109" s="134">
        <f>CX109*$C$57</f>
        <v>0</v>
      </c>
      <c r="CZ109" s="142">
        <f t="shared" si="82"/>
        <v>58596</v>
      </c>
      <c r="DA109" s="143">
        <f>CZ109*$C$57</f>
        <v>0</v>
      </c>
      <c r="DB109" s="165">
        <f t="shared" si="120"/>
        <v>49398.373315763907</v>
      </c>
      <c r="DC109" s="140">
        <f t="shared" si="50"/>
        <v>0.38208901298002068</v>
      </c>
      <c r="DD109" s="121" t="str">
        <f>IF($C$50="NEIN","NEIN",IF(DF109&lt;DE109,"JA","NEIN"))</f>
        <v>NEIN</v>
      </c>
      <c r="DE109" s="121">
        <f>DB109*$C$46</f>
        <v>13028.820962032729</v>
      </c>
      <c r="DF109" s="121">
        <f t="shared" si="17"/>
        <v>11654.367480597368</v>
      </c>
      <c r="DG109" s="201">
        <f>IF($C$50="NEIN",DE109,IF(DD109="NEIN",DE109,DF109))</f>
        <v>13028.820962032729</v>
      </c>
      <c r="DH109" s="159"/>
      <c r="DI109" s="74"/>
      <c r="DJ109" s="74"/>
      <c r="DK109" s="128"/>
      <c r="DL109" s="128"/>
      <c r="DM109" s="128"/>
      <c r="DN109" s="74"/>
      <c r="DO109" s="28">
        <f t="shared" si="83"/>
        <v>2050</v>
      </c>
      <c r="DP109" s="17">
        <f>IF($C$13+$C$10&gt;=DO109,-AG109,IF(DO109=$C$13+$C$10+1,$EK$93,0))</f>
        <v>0</v>
      </c>
      <c r="DQ109" s="17">
        <f t="shared" si="84"/>
        <v>779231.8698307008</v>
      </c>
      <c r="DR109" s="17">
        <f t="shared" si="85"/>
        <v>1704178.622351794</v>
      </c>
      <c r="DS109" s="17">
        <f t="shared" si="51"/>
        <v>28569.317713267224</v>
      </c>
      <c r="DT109" s="17">
        <f t="shared" si="18"/>
        <v>1854040.2958696156</v>
      </c>
      <c r="DU109" s="17">
        <f t="shared" si="86"/>
        <v>121292.35580455442</v>
      </c>
      <c r="DV109" s="33">
        <f t="shared" si="19"/>
        <v>849.04649063188003</v>
      </c>
      <c r="DW109" s="32">
        <f t="shared" si="20"/>
        <v>37080.80591739231</v>
      </c>
      <c r="DX109" s="17">
        <f t="shared" si="87"/>
        <v>0</v>
      </c>
      <c r="DY109" s="17">
        <f t="shared" si="88"/>
        <v>0</v>
      </c>
      <c r="DZ109" s="17">
        <f t="shared" si="21"/>
        <v>0</v>
      </c>
      <c r="EA109" s="17">
        <f t="shared" si="53"/>
        <v>6634.7800424985544</v>
      </c>
      <c r="EB109" s="15">
        <f t="shared" si="54"/>
        <v>30446.025874893756</v>
      </c>
      <c r="EC109" s="15">
        <f>IF(DP109=0,EC108,IF(DO109&lt;=$EK$88+$C$10,ABS(DP109)+EC108,EC108))</f>
        <v>430891.77838569693</v>
      </c>
      <c r="ED109" s="15">
        <f t="shared" si="89"/>
        <v>78155.67425624546</v>
      </c>
      <c r="EE109" s="16">
        <f t="shared" si="90"/>
        <v>1854040.2958696156</v>
      </c>
      <c r="EF109" s="15">
        <f t="shared" si="22"/>
        <v>28569.317713267224</v>
      </c>
      <c r="EG109" s="15">
        <f t="shared" si="91"/>
        <v>348340.09144500404</v>
      </c>
      <c r="EH109" s="16"/>
      <c r="EI109" s="16"/>
      <c r="EJ109"/>
      <c r="EK109"/>
      <c r="EL109"/>
      <c r="EM109" s="28">
        <f t="shared" si="92"/>
        <v>2050</v>
      </c>
      <c r="EN109" s="29">
        <f>IF($C$13+$C$10&gt;=EM109,-(AG109),IF(EM109=$C$13+$C$10+1,$FB$93,0))</f>
        <v>0</v>
      </c>
      <c r="EO109" s="30">
        <f t="shared" si="93"/>
        <v>430891.77838569693</v>
      </c>
      <c r="EP109" s="30">
        <f t="shared" si="94"/>
        <v>1864565.0810998939</v>
      </c>
      <c r="EQ109" s="30">
        <f t="shared" si="56"/>
        <v>0</v>
      </c>
      <c r="ER109" s="25">
        <f t="shared" si="23"/>
        <v>1995084.6367768866</v>
      </c>
      <c r="ES109" s="30">
        <f t="shared" si="95"/>
        <v>130519.55567699275</v>
      </c>
      <c r="ET109" s="26">
        <f t="shared" si="24"/>
        <v>913.63688973894796</v>
      </c>
      <c r="EU109" s="30">
        <f t="shared" si="96"/>
        <v>913.63688973894796</v>
      </c>
      <c r="EV109" s="25">
        <f t="shared" si="25"/>
        <v>0</v>
      </c>
      <c r="EW109" s="31">
        <f t="shared" si="97"/>
        <v>10949.350008738318</v>
      </c>
      <c r="EX109" s="27">
        <f>IF(EM109=0,EX108,IF(EM109&lt;=$FB$88+$C$10,ABS(EN109)+EX108,EX108))</f>
        <v>430891.77838569693</v>
      </c>
      <c r="EY109" s="15"/>
      <c r="EZ109"/>
      <c r="FA109"/>
      <c r="FB109"/>
      <c r="FC109" s="74"/>
      <c r="FD109" s="74"/>
      <c r="FE109" s="74"/>
      <c r="FF109" s="74"/>
      <c r="FG109" s="74"/>
      <c r="FH109" s="74"/>
      <c r="FI109" s="74"/>
      <c r="FJ109" s="28">
        <f t="shared" si="98"/>
        <v>2050</v>
      </c>
      <c r="FK109" s="65">
        <f>IF($C$13+$C$10&gt;=FJ109,-AG109,IF(FJ109=$C$13+$C$10+1,$EK$93,0))</f>
        <v>0</v>
      </c>
      <c r="FL109" s="65">
        <f t="shared" si="99"/>
        <v>74118.803999999975</v>
      </c>
      <c r="FM109" s="65">
        <f t="shared" si="100"/>
        <v>279855.60419818107</v>
      </c>
      <c r="FN109" s="65">
        <f t="shared" si="59"/>
        <v>0</v>
      </c>
      <c r="FO109" s="65">
        <f t="shared" si="26"/>
        <v>299445.49649205379</v>
      </c>
      <c r="FP109" s="65">
        <f t="shared" si="101"/>
        <v>19589.892293872719</v>
      </c>
      <c r="FQ109" s="59">
        <f t="shared" si="27"/>
        <v>137.1292460571087</v>
      </c>
      <c r="FR109" s="60">
        <f t="shared" si="28"/>
        <v>5988.9099298410756</v>
      </c>
      <c r="FS109" s="65">
        <f t="shared" si="102"/>
        <v>0</v>
      </c>
      <c r="FT109" s="65">
        <f t="shared" si="103"/>
        <v>0</v>
      </c>
      <c r="FU109" s="65">
        <f t="shared" si="29"/>
        <v>0</v>
      </c>
      <c r="FV109" s="65">
        <f t="shared" si="61"/>
        <v>894.43874579690839</v>
      </c>
      <c r="FW109" s="61">
        <f t="shared" si="62"/>
        <v>5094.4711840441669</v>
      </c>
      <c r="FX109" s="61">
        <f>IF(AND(FJ109&lt;=$GF$88+$C$10,FV108&lt;=0,FN109&gt;0),(FJ109-$C$10+1)*AG109+$GF$80,FX108)</f>
        <v>73074.599999999977</v>
      </c>
      <c r="FY109" s="62">
        <f t="shared" si="63"/>
        <v>4.2337539961157953</v>
      </c>
      <c r="FZ109" s="63">
        <f t="shared" si="104"/>
        <v>299445.49649205379</v>
      </c>
      <c r="GA109" s="64">
        <f t="shared" si="105"/>
        <v>5711.3388611873697</v>
      </c>
      <c r="GB109" s="64">
        <f t="shared" si="106"/>
        <v>90591.924367100204</v>
      </c>
      <c r="GC109" s="66">
        <f t="shared" si="30"/>
        <v>0</v>
      </c>
      <c r="GD109" s="64">
        <f t="shared" si="107"/>
        <v>1580.6039999999994</v>
      </c>
      <c r="GE109"/>
      <c r="GF109"/>
      <c r="GG109" s="74"/>
      <c r="GH109" s="74"/>
      <c r="GI109" s="28">
        <f t="shared" si="108"/>
        <v>2050</v>
      </c>
      <c r="GJ109" s="9">
        <f>IF($GX$88+$C$10&gt;=GI109,-AG109,IF(GI109=$GX$88+$C$10+1,$FB$93,0))</f>
        <v>0</v>
      </c>
      <c r="GK109" s="5">
        <f t="shared" si="109"/>
        <v>435181.16325877199</v>
      </c>
      <c r="GL109" s="5">
        <f t="shared" si="110"/>
        <v>1555614.6507938555</v>
      </c>
      <c r="GM109" s="35">
        <f t="shared" si="65"/>
        <v>4736.622726368334</v>
      </c>
      <c r="GN109" s="4">
        <f t="shared" si="31"/>
        <v>1669575.8626666395</v>
      </c>
      <c r="GO109" s="5">
        <f t="shared" si="111"/>
        <v>109224.5891464157</v>
      </c>
      <c r="GP109" s="5">
        <f t="shared" si="32"/>
        <v>764.5721240249095</v>
      </c>
      <c r="GQ109" s="5">
        <f t="shared" si="112"/>
        <v>764.5721240249095</v>
      </c>
      <c r="GR109" s="4">
        <f t="shared" si="33"/>
        <v>141.15912839809891</v>
      </c>
      <c r="GS109" s="7">
        <f t="shared" si="113"/>
        <v>8640.7628958550631</v>
      </c>
      <c r="GT109" s="107" t="e">
        <f>IF($DG$62=0,EX109,IF(GI109-$C$10+1&lt;=$GF$98,0,#REF!-FX109))</f>
        <v>#REF!</v>
      </c>
      <c r="GU109"/>
      <c r="GV109"/>
      <c r="GW109"/>
      <c r="GX109"/>
      <c r="GY109" s="74"/>
      <c r="GZ109" s="74"/>
      <c r="HA109" s="74"/>
      <c r="HB109" s="74"/>
      <c r="HC109" s="74"/>
      <c r="HD109" s="74"/>
    </row>
    <row r="110" spans="1:212" ht="16.149999999999999" thickBot="1" x14ac:dyDescent="0.55000000000000004">
      <c r="B110" s="333"/>
      <c r="C110" s="75"/>
      <c r="D110" s="75"/>
      <c r="F110" s="75"/>
      <c r="G110" s="75"/>
      <c r="H110" s="75"/>
      <c r="I110" s="75"/>
      <c r="J110" s="75"/>
      <c r="K110" s="75"/>
      <c r="L110" s="75"/>
      <c r="M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AB110" s="117" t="str">
        <f t="shared" si="34"/>
        <v/>
      </c>
      <c r="AC110" s="117" t="str">
        <f t="shared" si="35"/>
        <v/>
      </c>
      <c r="AD110" s="299">
        <f>IF($C$20="NEIN",$C$21,IF($C$22="JA",'HISTORISCHE RENDITEN'!E34,'HISTORISCHE RENDITEN'!D34))</f>
        <v>-0.42080000000000001</v>
      </c>
      <c r="AE110" s="129">
        <f t="shared" si="122"/>
        <v>58</v>
      </c>
      <c r="AF110" s="120">
        <f t="shared" si="37"/>
        <v>2051</v>
      </c>
      <c r="AG110" s="122">
        <f t="shared" si="0"/>
        <v>0</v>
      </c>
      <c r="AH110" s="124">
        <f t="shared" si="38"/>
        <v>430891.77838569693</v>
      </c>
      <c r="AI110" s="296">
        <f t="shared" si="114"/>
        <v>1684298.2823123613</v>
      </c>
      <c r="AJ110" s="123">
        <f t="shared" si="67"/>
        <v>0</v>
      </c>
      <c r="AK110" s="124">
        <f t="shared" si="68"/>
        <v>975545.56511531956</v>
      </c>
      <c r="AL110" s="122">
        <f t="shared" si="1"/>
        <v>-708752.71719704173</v>
      </c>
      <c r="AM110" s="122" t="b">
        <f>IF($C$25="Ausschütter",0,IF(AL110&gt;=0,(AI110+AJ110)*$C$48*0.7))</f>
        <v>0</v>
      </c>
      <c r="AN110" s="122">
        <f t="shared" si="2"/>
        <v>0</v>
      </c>
      <c r="AO110" s="122">
        <f t="shared" si="39"/>
        <v>0</v>
      </c>
      <c r="AP110" s="122">
        <f t="shared" si="69"/>
        <v>9992.2596464571743</v>
      </c>
      <c r="AQ110" s="122">
        <f>IF($C$25="AUSSCHÜTTER",0,IF(AO110*$C$46*$C$49&lt;=$C$47,0,AO110*$C$46*$C$49))</f>
        <v>0</v>
      </c>
      <c r="AR110" s="122">
        <f>IF(AO109*$C$49&gt;$C$47,(AN110)*$C$49*$C$46,IF((AO109+AN110)*$C$49&gt;$C$47,((AO109+AN110)*$C$49-$C$47)*$C$46,0))</f>
        <v>0</v>
      </c>
      <c r="AS110" s="122">
        <f t="shared" si="70"/>
        <v>0</v>
      </c>
      <c r="AT110" s="122">
        <f t="shared" si="40"/>
        <v>430891.77838569693</v>
      </c>
      <c r="AU110" s="122">
        <f t="shared" si="115"/>
        <v>0</v>
      </c>
      <c r="AV110" s="122">
        <f t="shared" si="71"/>
        <v>975545.56511531956</v>
      </c>
      <c r="AW110" s="122">
        <f t="shared" si="41"/>
        <v>0</v>
      </c>
      <c r="AX110" s="130">
        <f t="shared" si="42"/>
        <v>0</v>
      </c>
      <c r="AY110" s="82">
        <f>IF(AF110&lt;$C$11,$C$15*(1+$C$19)^(AF110-$C$10),0)</f>
        <v>0</v>
      </c>
      <c r="AZ110" s="82">
        <f>$C$14*(1+$C$37)^(AF110-$C$10)</f>
        <v>37756.216423472186</v>
      </c>
      <c r="BA110" s="165">
        <f>IF(AF110&lt;$C$11,0,MAX($C$38*AI110,AZ110))</f>
        <v>50528.948469370836</v>
      </c>
      <c r="BB110" s="82">
        <f>IF(AF110&lt;$C$11,0,MAX($C$38*AI110,AZ110))</f>
        <v>50528.948469370836</v>
      </c>
      <c r="BC110" s="136">
        <f>IF($C$39="JA",CT110,DG110)</f>
        <v>13327.010158796556</v>
      </c>
      <c r="BD110" s="82">
        <f t="shared" si="3"/>
        <v>0</v>
      </c>
      <c r="BE110" s="82">
        <f>IF(AF110&lt;($C$8+$C$30),0,$C$29*12*(1-$C$31))</f>
        <v>0</v>
      </c>
      <c r="BF110" s="82">
        <f>IF(AF110&lt;($C$8+$C$34),0,$C$33*12*(1-$C$35))</f>
        <v>0</v>
      </c>
      <c r="BG110" s="82">
        <f>IF(AF110&lt;$C$11,0,IF(AI110&lt;0,$C$42*(1+$C$44)^(AF110-$C$10),IF(((AL110+BE110+BF110)*$C$41)&lt;$C$42*(1+$C$44)^(AF110-$C$10),$C$42*(1+$C$44)^(AF110-$C$10),IF(((AL110+BE110+BF110)*$C$41)&lt;$C$43*(1+$C$44)^(AF110-$C$10),(AL110+BE110+BF110)*$C$41,IF(((AL110+BE110+BF110+BB110)*$C$41)&lt;$C$43*(1+$C$44)^(AF110-$C$10),((AL110+BE110+BF110+BB110)*$C$41),$C$43*(1+$C$44)^(AF110-$C$10))))))</f>
        <v>3751.3925291780383</v>
      </c>
      <c r="BH110" s="82">
        <f t="shared" si="72"/>
        <v>67607.351157345431</v>
      </c>
      <c r="BI110" s="242">
        <f t="shared" si="73"/>
        <v>975545.56511531956</v>
      </c>
      <c r="BJ110" s="217">
        <f t="shared" si="74"/>
        <v>907938.21395797411</v>
      </c>
      <c r="BK110" s="118"/>
      <c r="BL110" s="219">
        <f t="shared" si="4"/>
        <v>14</v>
      </c>
      <c r="BM110" s="220">
        <f t="shared" si="5"/>
        <v>31</v>
      </c>
      <c r="BN110" s="220">
        <f t="shared" si="121"/>
        <v>0</v>
      </c>
      <c r="BO110" s="221">
        <f t="shared" si="7"/>
        <v>0</v>
      </c>
      <c r="BP110" s="221">
        <f t="shared" si="8"/>
        <v>0</v>
      </c>
      <c r="BQ110" s="222">
        <f t="shared" si="9"/>
        <v>0</v>
      </c>
      <c r="BR110" s="223">
        <f>IF(BM110&lt;$C$11-$C$10+1,0,IF(BL110&lt;=$C$13,VLOOKUP(BL110,$BN$80:$BQ$156,2,FALSE)-BS110,0))</f>
        <v>54694.837707474842</v>
      </c>
      <c r="BS110" s="223">
        <f>IF(BM110&lt;$C$11-$C$10+1,0,IF(BL110&lt;=$C$13,VLOOKUP(BL110,$BN$80:$BQ$156,3,FALSE),0))</f>
        <v>24534.46049999999</v>
      </c>
      <c r="BT110" s="222">
        <f>IF(BM110&lt;$C$11-$C$10+1,0,IF(BL110&lt;=$C$13,VLOOKUP(BL110,$BN$80:$BQ$156,4,FALSE),0))</f>
        <v>2.2293067217628391</v>
      </c>
      <c r="BU110" s="223">
        <f t="shared" si="43"/>
        <v>144449.60246706978</v>
      </c>
      <c r="BV110" s="223">
        <f t="shared" si="44"/>
        <v>0</v>
      </c>
      <c r="BW110" s="223">
        <f t="shared" si="118"/>
        <v>144449.60246706978</v>
      </c>
      <c r="BX110" s="223">
        <f>IF(AND(BS110&lt;=0,BN110=0),MIN((MAX($BZ$80:$BZ$156)-SUM($BX$80:BX109)),CA110),IF(BS110&lt;CA110,BS110,CA110))</f>
        <v>24534.46049999999</v>
      </c>
      <c r="BY110" s="222">
        <f>IF(BN110&gt;0,0,IF(AND(BN110=0,BT110&lt;=0),100%,((BW109*(AVERAGE($BT$80:BT109))+(BR110*BT110))/(BR110+BW109+BS110+BV109))))</f>
        <v>0.85341530225670859</v>
      </c>
      <c r="BZ110" s="139">
        <f t="shared" si="46"/>
        <v>430891.77838569693</v>
      </c>
      <c r="CA110" s="122">
        <f t="shared" si="10"/>
        <v>50528.948469370836</v>
      </c>
      <c r="CB110" s="181">
        <f t="shared" si="47"/>
        <v>0.85341530225670859</v>
      </c>
      <c r="CC110" s="122">
        <f t="shared" si="48"/>
        <v>640247.42278498772</v>
      </c>
      <c r="CD110" s="182">
        <f t="shared" si="119"/>
        <v>24534.46049999999</v>
      </c>
      <c r="CE110" s="122">
        <f t="shared" si="75"/>
        <v>358353.57838569692</v>
      </c>
      <c r="CF110" s="122">
        <f t="shared" si="76"/>
        <v>72538.200000000012</v>
      </c>
      <c r="CG110" s="122" t="str">
        <f t="shared" si="12"/>
        <v>JA</v>
      </c>
      <c r="CH110" s="140">
        <f t="shared" si="13"/>
        <v>0.85341530225670859</v>
      </c>
      <c r="CI110" s="142">
        <f t="shared" si="77"/>
        <v>9984</v>
      </c>
      <c r="CJ110" s="134">
        <f>CI110*$C$57</f>
        <v>0</v>
      </c>
      <c r="CK110" s="142">
        <f t="shared" si="78"/>
        <v>14926</v>
      </c>
      <c r="CL110" s="134">
        <f>CK110*$C$57</f>
        <v>0</v>
      </c>
      <c r="CM110" s="142">
        <f t="shared" si="79"/>
        <v>58596</v>
      </c>
      <c r="CN110" s="134">
        <f>CM110*$C$57</f>
        <v>0</v>
      </c>
      <c r="CO110" s="132">
        <f t="shared" si="117"/>
        <v>43122.177830701767</v>
      </c>
      <c r="CP110" s="140">
        <f t="shared" si="14"/>
        <v>0.35621964757330704</v>
      </c>
      <c r="CQ110" s="121" t="str">
        <f>IF($C$50="NEIN","NEIN",IF(CS110&lt;CR110,"JA","NEIN"))</f>
        <v>NEIN</v>
      </c>
      <c r="CR110" s="121">
        <f>CO110*$C$46</f>
        <v>11373.474402847591</v>
      </c>
      <c r="CS110" s="121">
        <f t="shared" si="15"/>
        <v>9338.032786306283</v>
      </c>
      <c r="CT110" s="201">
        <f>IF($C$50="NEIN",CR110,IF(CQ110="NEIN",CR110,CS110))</f>
        <v>11373.474402847591</v>
      </c>
      <c r="CU110" s="149"/>
      <c r="CV110" s="202">
        <f t="shared" si="80"/>
        <v>9984</v>
      </c>
      <c r="CW110" s="134">
        <f>CV110*$C$57</f>
        <v>0</v>
      </c>
      <c r="CX110" s="142">
        <f t="shared" si="81"/>
        <v>14926</v>
      </c>
      <c r="CY110" s="134">
        <f>CX110*$C$57</f>
        <v>0</v>
      </c>
      <c r="CZ110" s="142">
        <f t="shared" si="82"/>
        <v>58596</v>
      </c>
      <c r="DA110" s="143">
        <f>CZ110*$C$57</f>
        <v>0</v>
      </c>
      <c r="DB110" s="165">
        <f t="shared" si="120"/>
        <v>50528.948469370836</v>
      </c>
      <c r="DC110" s="140">
        <f t="shared" si="50"/>
        <v>0.38674904338188115</v>
      </c>
      <c r="DD110" s="121" t="str">
        <f>IF($C$50="NEIN","NEIN",IF(DF110&lt;DE110,"JA","NEIN"))</f>
        <v>NEIN</v>
      </c>
      <c r="DE110" s="121">
        <f>DB110*$C$46</f>
        <v>13327.010158796556</v>
      </c>
      <c r="DF110" s="121">
        <f t="shared" si="17"/>
        <v>12088.911374657064</v>
      </c>
      <c r="DG110" s="201">
        <f>IF($C$50="NEIN",DE110,IF(DD110="NEIN",DE110,DF110))</f>
        <v>13327.010158796556</v>
      </c>
      <c r="DH110" s="159"/>
      <c r="DI110" s="74"/>
      <c r="DJ110" s="74"/>
      <c r="DK110" s="128"/>
      <c r="DL110" s="128"/>
      <c r="DM110" s="128"/>
      <c r="DN110" s="74"/>
      <c r="DO110" s="28">
        <f t="shared" si="83"/>
        <v>2051</v>
      </c>
      <c r="DP110" s="17">
        <f>IF($C$13+$C$10&gt;=DO110,-AG110,IF(DO110=$C$13+$C$10+1,$EK$93,0))</f>
        <v>0</v>
      </c>
      <c r="DQ110" s="17">
        <f t="shared" si="84"/>
        <v>809677.89570559456</v>
      </c>
      <c r="DR110" s="17">
        <f t="shared" si="85"/>
        <v>1816959.4899522234</v>
      </c>
      <c r="DS110" s="17">
        <f t="shared" si="51"/>
        <v>30446.025874893756</v>
      </c>
      <c r="DT110" s="17">
        <f t="shared" si="18"/>
        <v>1976723.9019350153</v>
      </c>
      <c r="DU110" s="17">
        <f t="shared" si="86"/>
        <v>129318.38610789832</v>
      </c>
      <c r="DV110" s="33">
        <f t="shared" si="19"/>
        <v>905.22870275528726</v>
      </c>
      <c r="DW110" s="32">
        <f t="shared" si="20"/>
        <v>39534.478038700305</v>
      </c>
      <c r="DX110" s="17">
        <f t="shared" si="87"/>
        <v>0</v>
      </c>
      <c r="DY110" s="17">
        <f t="shared" si="88"/>
        <v>0</v>
      </c>
      <c r="DZ110" s="17">
        <f t="shared" si="21"/>
        <v>0</v>
      </c>
      <c r="EA110" s="17">
        <f t="shared" si="53"/>
        <v>7087.7892578950423</v>
      </c>
      <c r="EB110" s="15">
        <f t="shared" si="54"/>
        <v>32446.688780805263</v>
      </c>
      <c r="EC110" s="15">
        <f>IF(DP110=0,EC109,IF(DO110&lt;=$EK$88+$C$10,ABS(DP110)+EC109,EC109))</f>
        <v>430891.77838569693</v>
      </c>
      <c r="ED110" s="15">
        <f t="shared" si="89"/>
        <v>85243.463514140502</v>
      </c>
      <c r="EE110" s="16">
        <f t="shared" si="90"/>
        <v>1976723.9019350153</v>
      </c>
      <c r="EF110" s="15">
        <f t="shared" si="22"/>
        <v>30446.025874893756</v>
      </c>
      <c r="EG110" s="15">
        <f t="shared" si="91"/>
        <v>378786.11731989781</v>
      </c>
      <c r="EH110" s="16"/>
      <c r="EI110" s="16"/>
      <c r="EJ110"/>
      <c r="EK110"/>
      <c r="EL110"/>
      <c r="EM110" s="28">
        <f t="shared" si="92"/>
        <v>2051</v>
      </c>
      <c r="EN110" s="29">
        <f>IF($C$13+$C$10&gt;=EM110,-(AG110),IF(EM110=$C$13+$C$10+1,$FB$93,0))</f>
        <v>0</v>
      </c>
      <c r="EO110" s="30">
        <f t="shared" si="93"/>
        <v>430891.77838569693</v>
      </c>
      <c r="EP110" s="30">
        <f t="shared" si="94"/>
        <v>1995084.6367768866</v>
      </c>
      <c r="EQ110" s="30">
        <f t="shared" si="56"/>
        <v>0</v>
      </c>
      <c r="ER110" s="25">
        <f t="shared" si="23"/>
        <v>2134740.561351269</v>
      </c>
      <c r="ES110" s="30">
        <f t="shared" si="95"/>
        <v>139655.92457438237</v>
      </c>
      <c r="ET110" s="26">
        <f t="shared" si="24"/>
        <v>977.59147202067436</v>
      </c>
      <c r="EU110" s="30">
        <f t="shared" si="96"/>
        <v>977.59147202067436</v>
      </c>
      <c r="EV110" s="25">
        <f t="shared" si="25"/>
        <v>0</v>
      </c>
      <c r="EW110" s="31">
        <f t="shared" si="97"/>
        <v>11926.941480758993</v>
      </c>
      <c r="EX110" s="27">
        <f>IF(EM110=0,EX109,IF(EM110&lt;=$FB$88+$C$10,ABS(EN110)+EX109,EX109))</f>
        <v>430891.77838569693</v>
      </c>
      <c r="EY110" s="15"/>
      <c r="EZ110"/>
      <c r="FA110"/>
      <c r="FB110"/>
      <c r="FC110" s="74"/>
      <c r="FD110" s="74"/>
      <c r="FE110" s="74"/>
      <c r="FF110" s="74"/>
      <c r="FG110" s="74"/>
      <c r="FH110" s="74"/>
      <c r="FI110" s="74"/>
      <c r="FJ110" s="28">
        <f t="shared" si="98"/>
        <v>2051</v>
      </c>
      <c r="FK110" s="65">
        <f>IF($C$13+$C$10&gt;=FJ110,-AG110,IF(FJ110=$C$13+$C$10+1,$EK$93,0))</f>
        <v>0</v>
      </c>
      <c r="FL110" s="65">
        <f t="shared" si="99"/>
        <v>74118.803999999975</v>
      </c>
      <c r="FM110" s="65">
        <f t="shared" si="100"/>
        <v>293456.58656221273</v>
      </c>
      <c r="FN110" s="65">
        <f t="shared" si="59"/>
        <v>0</v>
      </c>
      <c r="FO110" s="65">
        <f t="shared" si="26"/>
        <v>313998.54762156762</v>
      </c>
      <c r="FP110" s="65">
        <f t="shared" si="101"/>
        <v>20541.961059354886</v>
      </c>
      <c r="FQ110" s="59">
        <f t="shared" si="27"/>
        <v>143.79372741548423</v>
      </c>
      <c r="FR110" s="60">
        <f t="shared" si="28"/>
        <v>6279.9709524313521</v>
      </c>
      <c r="FS110" s="65">
        <f t="shared" si="102"/>
        <v>0</v>
      </c>
      <c r="FT110" s="65">
        <f t="shared" si="103"/>
        <v>0</v>
      </c>
      <c r="FU110" s="65">
        <f t="shared" si="29"/>
        <v>0</v>
      </c>
      <c r="FV110" s="65">
        <f t="shared" si="61"/>
        <v>948.17588709263828</v>
      </c>
      <c r="FW110" s="61">
        <f t="shared" si="62"/>
        <v>5331.7950653387143</v>
      </c>
      <c r="FX110" s="61">
        <f>IF(AND(FJ110&lt;=$GF$88+$C$10,FV109&lt;=0,FN110&gt;0),(FJ110-$C$10+1)*AG110+$GF$80,FX109)</f>
        <v>73074.599999999977</v>
      </c>
      <c r="FY110" s="62">
        <f t="shared" si="63"/>
        <v>4.4881144403270241</v>
      </c>
      <c r="FZ110" s="63">
        <f t="shared" si="104"/>
        <v>313998.54762156762</v>
      </c>
      <c r="GA110" s="64">
        <f t="shared" si="105"/>
        <v>5988.9099298410756</v>
      </c>
      <c r="GB110" s="64">
        <f t="shared" si="106"/>
        <v>96580.834296941277</v>
      </c>
      <c r="GC110" s="66">
        <f t="shared" si="30"/>
        <v>0</v>
      </c>
      <c r="GD110" s="64">
        <f t="shared" si="107"/>
        <v>1580.6039999999994</v>
      </c>
      <c r="GE110"/>
      <c r="GF110"/>
      <c r="GG110" s="74"/>
      <c r="GH110" s="74"/>
      <c r="GI110" s="28">
        <f t="shared" si="108"/>
        <v>2051</v>
      </c>
      <c r="GJ110" s="9">
        <f>IF($GX$88+$C$10&gt;=GI110,-AG110,IF(GI110=$GX$88+$C$10+1,$FB$93,0))</f>
        <v>0</v>
      </c>
      <c r="GK110" s="5">
        <f t="shared" si="109"/>
        <v>440134.47531441809</v>
      </c>
      <c r="GL110" s="5">
        <f t="shared" si="110"/>
        <v>1669575.8626666395</v>
      </c>
      <c r="GM110" s="35">
        <f t="shared" si="65"/>
        <v>4953.3120556460681</v>
      </c>
      <c r="GN110" s="4">
        <f t="shared" si="31"/>
        <v>1791746.2169528455</v>
      </c>
      <c r="GO110" s="5">
        <f t="shared" si="111"/>
        <v>117217.04223055998</v>
      </c>
      <c r="GP110" s="5">
        <f t="shared" si="32"/>
        <v>820.51929561391989</v>
      </c>
      <c r="GQ110" s="5">
        <f t="shared" si="112"/>
        <v>820.51929561391989</v>
      </c>
      <c r="GR110" s="4">
        <f t="shared" si="33"/>
        <v>151.48837495271994</v>
      </c>
      <c r="GS110" s="7">
        <f t="shared" si="113"/>
        <v>9461.282191468983</v>
      </c>
      <c r="GT110" s="107" t="e">
        <f>IF($DG$62=0,EX110,IF(GI110-$C$10+1&lt;=$GF$98,0,#REF!-FX110))</f>
        <v>#REF!</v>
      </c>
      <c r="GU110"/>
      <c r="GV110"/>
      <c r="GW110"/>
      <c r="GX110"/>
      <c r="GY110" s="74"/>
      <c r="GZ110" s="74"/>
      <c r="HA110" s="74"/>
      <c r="HB110" s="74"/>
      <c r="HC110" s="74"/>
      <c r="HD110" s="74"/>
    </row>
    <row r="111" spans="1:212" ht="16.149999999999999" thickBot="1" x14ac:dyDescent="0.55000000000000004">
      <c r="B111" s="333"/>
      <c r="C111" s="75"/>
      <c r="D111" s="75"/>
      <c r="F111" s="75"/>
      <c r="G111" s="75"/>
      <c r="H111" s="75"/>
      <c r="I111" s="75"/>
      <c r="J111" s="75"/>
      <c r="K111" s="75"/>
      <c r="L111" s="75"/>
      <c r="M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AB111" s="117" t="str">
        <f t="shared" si="34"/>
        <v/>
      </c>
      <c r="AC111" s="117" t="str">
        <f t="shared" si="35"/>
        <v/>
      </c>
      <c r="AD111" s="299">
        <f>IF($C$20="NEIN",$C$21,IF($C$22="JA",'HISTORISCHE RENDITEN'!E35,'HISTORISCHE RENDITEN'!D35))</f>
        <v>0.26979999999999998</v>
      </c>
      <c r="AE111" s="129">
        <f t="shared" si="122"/>
        <v>59</v>
      </c>
      <c r="AF111" s="120">
        <f t="shared" si="37"/>
        <v>2052</v>
      </c>
      <c r="AG111" s="122">
        <f t="shared" si="0"/>
        <v>0</v>
      </c>
      <c r="AH111" s="124">
        <f t="shared" si="38"/>
        <v>430891.77838569693</v>
      </c>
      <c r="AI111" s="296">
        <f t="shared" si="114"/>
        <v>907938.21395797411</v>
      </c>
      <c r="AJ111" s="123">
        <f t="shared" si="67"/>
        <v>0</v>
      </c>
      <c r="AK111" s="124">
        <f t="shared" si="68"/>
        <v>1152899.9440838355</v>
      </c>
      <c r="AL111" s="122">
        <f t="shared" si="1"/>
        <v>244961.73012586136</v>
      </c>
      <c r="AM111" s="122">
        <f>IF($C$25="Ausschütter",0,IF(AL111&gt;=0,(AI111+AJ111)*$C$48*0.7))</f>
        <v>444.88972483940728</v>
      </c>
      <c r="AN111" s="122">
        <f t="shared" si="2"/>
        <v>0</v>
      </c>
      <c r="AO111" s="122">
        <f t="shared" si="39"/>
        <v>444.88972483940728</v>
      </c>
      <c r="AP111" s="122">
        <f t="shared" si="69"/>
        <v>10437.149371296582</v>
      </c>
      <c r="AQ111" s="122">
        <f>IF($C$25="AUSSCHÜTTER",0,IF(AO111*$C$46*$C$49&lt;=$C$47,0,AO111*$C$46*$C$49))</f>
        <v>0</v>
      </c>
      <c r="AR111" s="122">
        <f>IF(AO110*$C$49&gt;$C$47,(AN111)*$C$49*$C$46,IF((AO110+AN111)*$C$49&gt;$C$47,((AO110+AN111)*$C$49-$C$47)*$C$46,0))</f>
        <v>0</v>
      </c>
      <c r="AS111" s="122">
        <f t="shared" si="70"/>
        <v>0</v>
      </c>
      <c r="AT111" s="122">
        <f t="shared" si="40"/>
        <v>430891.77838569693</v>
      </c>
      <c r="AU111" s="122">
        <f t="shared" si="115"/>
        <v>0</v>
      </c>
      <c r="AV111" s="122">
        <f t="shared" si="71"/>
        <v>1152899.9440838355</v>
      </c>
      <c r="AW111" s="122">
        <f t="shared" si="41"/>
        <v>0</v>
      </c>
      <c r="AX111" s="130">
        <f t="shared" si="42"/>
        <v>0</v>
      </c>
      <c r="AY111" s="82">
        <f>IF(AF111&lt;$C$11,$C$15*(1+$C$19)^(AF111-$C$10),0)</f>
        <v>0</v>
      </c>
      <c r="AZ111" s="82">
        <f>$C$14*(1+$C$37)^(AF111-$C$10)</f>
        <v>38700.121834058999</v>
      </c>
      <c r="BA111" s="165">
        <f>IF(AF111&lt;$C$11,0,MAX($C$38*AI111,AZ111))</f>
        <v>38700.121834058999</v>
      </c>
      <c r="BB111" s="82">
        <f>IF(AF111&lt;$C$11,0,MAX($C$38*AI111,AZ111))</f>
        <v>38700.121834058999</v>
      </c>
      <c r="BC111" s="136">
        <f>IF($C$39="JA",CT111,DG111)</f>
        <v>10207.157133733061</v>
      </c>
      <c r="BD111" s="82">
        <f t="shared" si="3"/>
        <v>0</v>
      </c>
      <c r="BE111" s="82">
        <f>IF(AF111&lt;($C$8+$C$30),0,$C$29*12*(1-$C$31))</f>
        <v>0</v>
      </c>
      <c r="BF111" s="82">
        <f>IF(AF111&lt;($C$8+$C$34),0,$C$33*12*(1-$C$35))</f>
        <v>0</v>
      </c>
      <c r="BG111" s="82">
        <f>IF(AF111&lt;$C$11,0,IF(AI111&lt;0,$C$42*(1+$C$44)^(AF111-$C$10),IF(((AL111+BE111+BF111)*$C$41)&lt;$C$42*(1+$C$44)^(AF111-$C$10),$C$42*(1+$C$44)^(AF111-$C$10),IF(((AL111+BE111+BF111)*$C$41)&lt;$C$43*(1+$C$44)^(AF111-$C$10),(AL111+BE111+BF111)*$C$41,IF(((AL111+BE111+BF111+BB111)*$C$41)&lt;$C$43*(1+$C$44)^(AF111-$C$10),((AL111+BE111+BF111+BB111)*$C$41),$C$43*(1+$C$44)^(AF111-$C$10))))))</f>
        <v>17134.48537702069</v>
      </c>
      <c r="BH111" s="82">
        <f t="shared" si="72"/>
        <v>66041.764344812749</v>
      </c>
      <c r="BI111" s="242">
        <f t="shared" si="73"/>
        <v>1152899.9440838355</v>
      </c>
      <c r="BJ111" s="217">
        <f t="shared" si="74"/>
        <v>1086858.1797390226</v>
      </c>
      <c r="BK111" s="118"/>
      <c r="BL111" s="219">
        <f t="shared" si="4"/>
        <v>15</v>
      </c>
      <c r="BM111" s="220">
        <f t="shared" si="5"/>
        <v>32</v>
      </c>
      <c r="BN111" s="220">
        <f t="shared" si="121"/>
        <v>0</v>
      </c>
      <c r="BO111" s="221">
        <f t="shared" si="7"/>
        <v>0</v>
      </c>
      <c r="BP111" s="221">
        <f t="shared" si="8"/>
        <v>0</v>
      </c>
      <c r="BQ111" s="222">
        <f t="shared" si="9"/>
        <v>0</v>
      </c>
      <c r="BR111" s="223">
        <f>IF(BM111&lt;$C$11-$C$10+1,0,IF(BL111&lt;=$C$13,VLOOKUP(BL111,$BN$80:$BQ$156,2,FALSE)-BS111,0))</f>
        <v>61171.990311055786</v>
      </c>
      <c r="BS111" s="223">
        <f>IF(BM111&lt;$C$11-$C$10+1,0,IF(BL111&lt;=$C$13,VLOOKUP(BL111,$BN$80:$BQ$156,3,FALSE),0))</f>
        <v>24358.19999999999</v>
      </c>
      <c r="BT111" s="222">
        <f>IF(BM111&lt;$C$11-$C$10+1,0,IF(BL111&lt;=$C$13,VLOOKUP(BL111,$BN$80:$BQ$156,4,FALSE),0))</f>
        <v>2.5113510157177381</v>
      </c>
      <c r="BU111" s="223">
        <f t="shared" si="43"/>
        <v>191279.67094406654</v>
      </c>
      <c r="BV111" s="223">
        <f t="shared" si="44"/>
        <v>0</v>
      </c>
      <c r="BW111" s="223">
        <f t="shared" si="118"/>
        <v>191279.67094406654</v>
      </c>
      <c r="BX111" s="223">
        <f>IF(AND(BS111&lt;=0,BN111=0),MIN((MAX($BZ$80:$BZ$156)-SUM($BX$80:BX110)),CA111),IF(BS111&lt;CA111,BS111,CA111))</f>
        <v>24358.19999999999</v>
      </c>
      <c r="BY111" s="222">
        <f>IF(BN111&gt;0,0,IF(AND(BN111=0,BT111&lt;=0),100%,((BW110*(AVERAGE($BT$80:BT110))+(BR111*BT111))/(BR111+BW110+BS111+BV110))))</f>
        <v>0.94666454215866047</v>
      </c>
      <c r="BZ111" s="139">
        <f t="shared" si="46"/>
        <v>430891.77838569693</v>
      </c>
      <c r="CA111" s="122">
        <f t="shared" si="10"/>
        <v>38700.121834058999</v>
      </c>
      <c r="CB111" s="181">
        <f t="shared" si="47"/>
        <v>0.94666454215866047</v>
      </c>
      <c r="CC111" s="122">
        <f>CA111+CC110</f>
        <v>678947.54461904673</v>
      </c>
      <c r="CD111" s="182">
        <f t="shared" si="119"/>
        <v>24358.19999999999</v>
      </c>
      <c r="CE111" s="122">
        <f>CD111+CE110</f>
        <v>382711.77838569693</v>
      </c>
      <c r="CF111" s="122">
        <f>BZ111-CE111</f>
        <v>48180</v>
      </c>
      <c r="CG111" s="122" t="str">
        <f t="shared" si="12"/>
        <v>JA</v>
      </c>
      <c r="CH111" s="140">
        <f t="shared" si="13"/>
        <v>0.94666454215866047</v>
      </c>
      <c r="CI111" s="142">
        <f t="shared" si="77"/>
        <v>9984</v>
      </c>
      <c r="CJ111" s="134">
        <f>CI111*$C$57</f>
        <v>0</v>
      </c>
      <c r="CK111" s="142">
        <f t="shared" si="78"/>
        <v>14926</v>
      </c>
      <c r="CL111" s="134">
        <f>CK111*$C$57</f>
        <v>0</v>
      </c>
      <c r="CM111" s="142">
        <f t="shared" si="79"/>
        <v>58596</v>
      </c>
      <c r="CN111" s="134">
        <f>CM111*$C$57</f>
        <v>0</v>
      </c>
      <c r="CO111" s="132">
        <f t="shared" si="117"/>
        <v>36636.033117523839</v>
      </c>
      <c r="CP111" s="140">
        <f t="shared" si="14"/>
        <v>0.32948490865936092</v>
      </c>
      <c r="CQ111" s="121" t="str">
        <f>IF($C$50="NEIN","NEIN",IF(CS111&lt;CR111,"JA","NEIN"))</f>
        <v>NEIN</v>
      </c>
      <c r="CR111" s="121">
        <f>CO111*$C$46</f>
        <v>9662.7537347469115</v>
      </c>
      <c r="CS111" s="121">
        <f t="shared" si="15"/>
        <v>7115.0922462895114</v>
      </c>
      <c r="CT111" s="201">
        <f>IF($C$50="NEIN",CR111,IF(CQ111="NEIN",CR111,CS111))</f>
        <v>9662.7537347469115</v>
      </c>
      <c r="CU111" s="149"/>
      <c r="CV111" s="202">
        <f t="shared" si="80"/>
        <v>9984</v>
      </c>
      <c r="CW111" s="134">
        <f>CV111*$C$57</f>
        <v>0</v>
      </c>
      <c r="CX111" s="142">
        <f t="shared" si="81"/>
        <v>14926</v>
      </c>
      <c r="CY111" s="134">
        <f>CX111*$C$57</f>
        <v>0</v>
      </c>
      <c r="CZ111" s="142">
        <f t="shared" si="82"/>
        <v>58596</v>
      </c>
      <c r="DA111" s="143">
        <f>CZ111*$C$57</f>
        <v>0</v>
      </c>
      <c r="DB111" s="165">
        <f t="shared" si="120"/>
        <v>38700.121834058999</v>
      </c>
      <c r="DC111" s="140">
        <f t="shared" si="50"/>
        <v>0.33799271651318114</v>
      </c>
      <c r="DD111" s="121" t="str">
        <f>IF($C$50="NEIN","NEIN",IF(DF111&lt;DE111,"JA","NEIN"))</f>
        <v>NEIN</v>
      </c>
      <c r="DE111" s="121">
        <f>DB111*$C$46</f>
        <v>10207.157133733061</v>
      </c>
      <c r="DF111" s="121">
        <f t="shared" si="17"/>
        <v>7803.6576718607612</v>
      </c>
      <c r="DG111" s="201">
        <f>IF($C$50="NEIN",DE111,IF(DD111="NEIN",DE111,DF111))</f>
        <v>10207.157133733061</v>
      </c>
      <c r="DH111" s="159"/>
      <c r="DI111" s="74"/>
      <c r="DJ111" s="74"/>
      <c r="DK111" s="128"/>
      <c r="DL111" s="128"/>
      <c r="DM111" s="128"/>
      <c r="DN111" s="74"/>
      <c r="DO111" s="28">
        <f t="shared" si="83"/>
        <v>2052</v>
      </c>
      <c r="DP111" s="17">
        <f>IF($C$13+$C$10&gt;=DO111,-AG111,IF(DO111=$C$13+$C$10+1,$EK$93,0))</f>
        <v>0</v>
      </c>
      <c r="DQ111" s="17">
        <f t="shared" si="84"/>
        <v>842124.58448639978</v>
      </c>
      <c r="DR111" s="17">
        <f t="shared" si="85"/>
        <v>1937189.423896315</v>
      </c>
      <c r="DS111" s="17">
        <f t="shared" si="51"/>
        <v>32446.688780805263</v>
      </c>
      <c r="DT111" s="17">
        <f t="shared" si="18"/>
        <v>2107510.640564519</v>
      </c>
      <c r="DU111" s="17">
        <f t="shared" si="86"/>
        <v>137874.52788739861</v>
      </c>
      <c r="DV111" s="33">
        <f t="shared" si="19"/>
        <v>965.12169521178896</v>
      </c>
      <c r="DW111" s="32">
        <f t="shared" si="20"/>
        <v>42150.212811290381</v>
      </c>
      <c r="DX111" s="17">
        <f t="shared" si="87"/>
        <v>0</v>
      </c>
      <c r="DY111" s="17">
        <f t="shared" si="88"/>
        <v>0</v>
      </c>
      <c r="DZ111" s="17">
        <f t="shared" si="21"/>
        <v>0</v>
      </c>
      <c r="EA111" s="17">
        <f t="shared" si="53"/>
        <v>7570.7192902844854</v>
      </c>
      <c r="EB111" s="15">
        <f t="shared" si="54"/>
        <v>34579.493521005897</v>
      </c>
      <c r="EC111" s="15">
        <f>IF(DP111=0,EC110,IF(DO111&lt;=$EK$88+$C$10,ABS(DP111)+EC110,EC110))</f>
        <v>430891.77838569693</v>
      </c>
      <c r="ED111" s="15">
        <f t="shared" si="89"/>
        <v>92814.182804424985</v>
      </c>
      <c r="EE111" s="16">
        <f t="shared" si="90"/>
        <v>2107510.640564519</v>
      </c>
      <c r="EF111" s="15">
        <f t="shared" si="22"/>
        <v>32446.688780805263</v>
      </c>
      <c r="EG111" s="15">
        <f t="shared" si="91"/>
        <v>411232.80610070308</v>
      </c>
      <c r="EH111" s="16"/>
      <c r="EI111" s="16"/>
      <c r="EJ111"/>
      <c r="EK111"/>
      <c r="EL111"/>
      <c r="EM111" s="28">
        <f t="shared" si="92"/>
        <v>2052</v>
      </c>
      <c r="EN111" s="29">
        <f>IF($C$13+$C$10&gt;=EM111,-(AG111),IF(EM111=$C$13+$C$10+1,$FB$93,0))</f>
        <v>0</v>
      </c>
      <c r="EO111" s="30">
        <f t="shared" si="93"/>
        <v>430891.77838569693</v>
      </c>
      <c r="EP111" s="30">
        <f t="shared" si="94"/>
        <v>2134740.561351269</v>
      </c>
      <c r="EQ111" s="30">
        <f t="shared" si="56"/>
        <v>0</v>
      </c>
      <c r="ER111" s="25">
        <f t="shared" si="23"/>
        <v>2284172.4006458581</v>
      </c>
      <c r="ES111" s="30">
        <f t="shared" si="95"/>
        <v>149431.83929458912</v>
      </c>
      <c r="ET111" s="26">
        <f t="shared" si="24"/>
        <v>1046.0228750621218</v>
      </c>
      <c r="EU111" s="30">
        <f t="shared" si="96"/>
        <v>1046.0228750621218</v>
      </c>
      <c r="EV111" s="25">
        <f t="shared" si="25"/>
        <v>0</v>
      </c>
      <c r="EW111" s="31">
        <f t="shared" si="97"/>
        <v>12972.964355821114</v>
      </c>
      <c r="EX111" s="27">
        <f>IF(EM111=0,EX110,IF(EM111&lt;=$FB$88+$C$10,ABS(EN111)+EX110,EX110))</f>
        <v>430891.77838569693</v>
      </c>
      <c r="EY111" s="15"/>
      <c r="EZ111"/>
      <c r="FA111"/>
      <c r="FB111"/>
      <c r="FC111" s="74"/>
      <c r="FD111" s="74"/>
      <c r="FE111" s="74"/>
      <c r="FF111" s="74"/>
      <c r="FG111" s="74"/>
      <c r="FH111" s="74"/>
      <c r="FI111" s="74"/>
      <c r="FJ111" s="28">
        <f t="shared" si="98"/>
        <v>2052</v>
      </c>
      <c r="FK111" s="65">
        <f>IF($C$13+$C$10&gt;=FJ111,-AG111,IF(FJ111=$C$13+$C$10+1,$EK$93,0))</f>
        <v>0</v>
      </c>
      <c r="FL111" s="65">
        <f t="shared" si="99"/>
        <v>74118.803999999975</v>
      </c>
      <c r="FM111" s="65">
        <f t="shared" si="100"/>
        <v>307718.57666913624</v>
      </c>
      <c r="FN111" s="65">
        <f t="shared" si="59"/>
        <v>0</v>
      </c>
      <c r="FO111" s="65">
        <f t="shared" si="26"/>
        <v>329258.87703597581</v>
      </c>
      <c r="FP111" s="65">
        <f t="shared" si="101"/>
        <v>21540.300366839569</v>
      </c>
      <c r="FQ111" s="59">
        <f t="shared" si="27"/>
        <v>150.78210256787676</v>
      </c>
      <c r="FR111" s="60">
        <f t="shared" si="28"/>
        <v>6585.1775407195164</v>
      </c>
      <c r="FS111" s="65">
        <f t="shared" si="102"/>
        <v>0</v>
      </c>
      <c r="FT111" s="65">
        <f t="shared" si="103"/>
        <v>0</v>
      </c>
      <c r="FU111" s="65">
        <f t="shared" si="29"/>
        <v>0</v>
      </c>
      <c r="FV111" s="65">
        <f t="shared" si="61"/>
        <v>1004.5246534553405</v>
      </c>
      <c r="FW111" s="61">
        <f t="shared" si="62"/>
        <v>5580.6528872641757</v>
      </c>
      <c r="FX111" s="61">
        <f>IF(AND(FJ111&lt;=$GF$88+$C$10,FV110&lt;=0,FN111&gt;0),(FJ111-$C$10+1)*AG111+$GF$80,FX110)</f>
        <v>73074.599999999977</v>
      </c>
      <c r="FY111" s="62">
        <f t="shared" si="63"/>
        <v>4.7548368021269178</v>
      </c>
      <c r="FZ111" s="63">
        <f t="shared" si="104"/>
        <v>329258.87703597581</v>
      </c>
      <c r="GA111" s="64">
        <f t="shared" si="105"/>
        <v>6279.9709524313521</v>
      </c>
      <c r="GB111" s="64">
        <f t="shared" si="106"/>
        <v>102860.80524937263</v>
      </c>
      <c r="GC111" s="66">
        <f t="shared" si="30"/>
        <v>0</v>
      </c>
      <c r="GD111" s="64">
        <f t="shared" si="107"/>
        <v>1580.6039999999994</v>
      </c>
      <c r="GE111"/>
      <c r="GF111"/>
      <c r="GG111" s="74"/>
      <c r="GH111" s="74"/>
      <c r="GI111" s="28">
        <f t="shared" si="108"/>
        <v>2052</v>
      </c>
      <c r="GJ111" s="9">
        <f>IF($GX$88+$C$10&gt;=GI111,-AG111,IF(GI111=$GX$88+$C$10+1,$FB$93,0))</f>
        <v>0</v>
      </c>
      <c r="GK111" s="5">
        <f t="shared" si="109"/>
        <v>445314.78200480406</v>
      </c>
      <c r="GL111" s="5">
        <f t="shared" si="110"/>
        <v>1791746.2169528455</v>
      </c>
      <c r="GM111" s="35">
        <f t="shared" si="65"/>
        <v>5180.3066903859944</v>
      </c>
      <c r="GN111" s="4">
        <f t="shared" si="31"/>
        <v>1922711.3802982578</v>
      </c>
      <c r="GO111" s="5">
        <f t="shared" si="111"/>
        <v>125784.85665502632</v>
      </c>
      <c r="GP111" s="5">
        <f t="shared" si="32"/>
        <v>880.49399658518325</v>
      </c>
      <c r="GQ111" s="5">
        <f t="shared" si="112"/>
        <v>880.49399658518325</v>
      </c>
      <c r="GR111" s="4">
        <f t="shared" si="33"/>
        <v>162.56120411953944</v>
      </c>
      <c r="GS111" s="7">
        <f t="shared" si="113"/>
        <v>10341.776188054166</v>
      </c>
      <c r="GT111" s="107" t="e">
        <f>IF($DG$62=0,EX111,IF(GI111-$C$10+1&lt;=$GF$98,0,#REF!-FX111))</f>
        <v>#REF!</v>
      </c>
      <c r="GU111"/>
      <c r="GV111"/>
      <c r="GW111"/>
      <c r="GX111"/>
      <c r="GY111" s="74"/>
      <c r="GZ111" s="74"/>
      <c r="HA111" s="74"/>
      <c r="HB111" s="74"/>
      <c r="HC111" s="74"/>
      <c r="HD111" s="74"/>
    </row>
    <row r="112" spans="1:212" ht="16.149999999999999" thickBot="1" x14ac:dyDescent="0.55000000000000004">
      <c r="B112" s="333"/>
      <c r="C112" s="75"/>
      <c r="D112" s="75"/>
      <c r="F112" s="75"/>
      <c r="G112" s="75"/>
      <c r="H112" s="75"/>
      <c r="I112" s="75"/>
      <c r="J112" s="75"/>
      <c r="K112" s="75"/>
      <c r="L112" s="75"/>
      <c r="M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AB112" s="117" t="str">
        <f t="shared" si="34"/>
        <v/>
      </c>
      <c r="AC112" s="117" t="str">
        <f t="shared" si="35"/>
        <v/>
      </c>
      <c r="AD112" s="299">
        <f>IF($C$20="NEIN",$C$21,IF($C$22="JA",'HISTORISCHE RENDITEN'!E36,'HISTORISCHE RENDITEN'!D36))</f>
        <v>9.5500000000000002E-2</v>
      </c>
      <c r="AE112" s="129">
        <f t="shared" si="122"/>
        <v>60</v>
      </c>
      <c r="AF112" s="120">
        <f t="shared" si="37"/>
        <v>2053</v>
      </c>
      <c r="AG112" s="122">
        <f t="shared" ref="AG112:AG143" si="123">IF(AF112&lt;$C$11,AY112-AZ112,0)</f>
        <v>0</v>
      </c>
      <c r="AH112" s="124">
        <f t="shared" si="38"/>
        <v>430891.77838569693</v>
      </c>
      <c r="AI112" s="296">
        <f t="shared" si="114"/>
        <v>1086858.1797390226</v>
      </c>
      <c r="AJ112" s="123">
        <f t="shared" si="67"/>
        <v>0</v>
      </c>
      <c r="AK112" s="124">
        <f t="shared" si="68"/>
        <v>1190653.1359040991</v>
      </c>
      <c r="AL112" s="122">
        <f t="shared" ref="AL112:AL143" si="124">AK112-(AJ112+AI112)</f>
        <v>103794.95616507647</v>
      </c>
      <c r="AM112" s="122">
        <f>IF($C$25="Ausschütter",0,IF(AL112&gt;=0,(AI112+AJ112)*$C$48*0.7))</f>
        <v>532.56050807212114</v>
      </c>
      <c r="AN112" s="122">
        <f t="shared" ref="AN112:AN143" si="125">IF($C$25="THESAURIERER",0,AK112*$C$26)</f>
        <v>0</v>
      </c>
      <c r="AO112" s="122">
        <f t="shared" si="39"/>
        <v>532.56050807212114</v>
      </c>
      <c r="AP112" s="122">
        <f t="shared" si="69"/>
        <v>10969.709879368704</v>
      </c>
      <c r="AQ112" s="122">
        <f>IF($C$25="AUSSCHÜTTER",0,IF(AO112*$C$46*$C$49&lt;=$C$47,0,AO112*$C$46*$C$49))</f>
        <v>0</v>
      </c>
      <c r="AR112" s="122">
        <f>IF(AO111*$C$49&gt;$C$47,(AN112)*$C$49*$C$46,IF((AO111+AN112)*$C$49&gt;$C$47,((AO111+AN112)*$C$49-$C$47)*$C$46,0))</f>
        <v>0</v>
      </c>
      <c r="AS112" s="122">
        <f t="shared" si="70"/>
        <v>0</v>
      </c>
      <c r="AT112" s="122">
        <f t="shared" si="40"/>
        <v>430891.77838569693</v>
      </c>
      <c r="AU112" s="122">
        <f t="shared" si="115"/>
        <v>0</v>
      </c>
      <c r="AV112" s="122">
        <f t="shared" si="71"/>
        <v>1190653.1359040991</v>
      </c>
      <c r="AW112" s="122">
        <f t="shared" si="41"/>
        <v>0</v>
      </c>
      <c r="AX112" s="130">
        <f t="shared" si="42"/>
        <v>0</v>
      </c>
      <c r="AY112" s="82">
        <f>IF(AF112&lt;$C$11,$C$15*(1+$C$19)^(AF112-$C$10),0)</f>
        <v>0</v>
      </c>
      <c r="AZ112" s="82">
        <f>$C$14*(1+$C$37)^(AF112-$C$10)</f>
        <v>39667.624879910465</v>
      </c>
      <c r="BA112" s="165">
        <f>IF(AF112&lt;$C$11,0,MAX($C$38*AI112,AZ112))</f>
        <v>39667.624879910465</v>
      </c>
      <c r="BB112" s="82">
        <f>IF(AF112&lt;$C$11,0,MAX($C$38*AI112,AZ112))</f>
        <v>39667.624879910465</v>
      </c>
      <c r="BC112" s="136">
        <f>IF($C$39="JA",CT112,DG112)</f>
        <v>10462.336062076385</v>
      </c>
      <c r="BD112" s="82">
        <f t="shared" ref="BD112:BD143" si="126">IF($C$27="JA",0,AS112-AW112)</f>
        <v>0</v>
      </c>
      <c r="BE112" s="82">
        <f>IF(AF112&lt;($C$8+$C$30),0,$C$29*12*(1-$C$31))</f>
        <v>0</v>
      </c>
      <c r="BF112" s="82">
        <f>IF(AF112&lt;($C$8+$C$34),0,$C$33*12*(1-$C$35))</f>
        <v>0</v>
      </c>
      <c r="BG112" s="82">
        <f>IF(AF112&lt;$C$11,0,IF(AI112&lt;0,$C$42*(1+$C$44)^(AF112-$C$10),IF(((AL112+BE112+BF112)*$C$41)&lt;$C$42*(1+$C$44)^(AF112-$C$10),$C$42*(1+$C$44)^(AF112-$C$10),IF(((AL112+BE112+BF112)*$C$41)&lt;$C$43*(1+$C$44)^(AF112-$C$10),(AL112+BE112+BF112)*$C$41,IF(((AL112+BE112+BF112+BB112)*$C$41)&lt;$C$43*(1+$C$44)^(AF112-$C$10),((AL112+BE112+BF112+BB112)*$C$41),$C$43*(1+$C$44)^(AF112-$C$10))))))</f>
        <v>17391.502657675996</v>
      </c>
      <c r="BH112" s="82">
        <f t="shared" si="72"/>
        <v>67521.463599662849</v>
      </c>
      <c r="BI112" s="242">
        <f t="shared" si="73"/>
        <v>1190653.1359040991</v>
      </c>
      <c r="BJ112" s="217">
        <f t="shared" si="74"/>
        <v>1123131.6723044363</v>
      </c>
      <c r="BK112" s="118"/>
      <c r="BL112" s="219">
        <f t="shared" ref="BL112:BL143" si="127">IF(AF112&lt;$C$11,0,AF112-$C$11+1)</f>
        <v>16</v>
      </c>
      <c r="BM112" s="220">
        <f t="shared" ref="BM112:BM143" si="128">AE112-$C$9+1</f>
        <v>33</v>
      </c>
      <c r="BN112" s="220">
        <f t="shared" si="121"/>
        <v>0</v>
      </c>
      <c r="BO112" s="221">
        <f t="shared" ref="BO112:BO143" si="129">AG112*(1+AVERAGE($AD$80:$AD$156))^(BN112)</f>
        <v>0</v>
      </c>
      <c r="BP112" s="221">
        <f t="shared" ref="BP112:BP143" si="130">AG112</f>
        <v>0</v>
      </c>
      <c r="BQ112" s="222">
        <f t="shared" si="9"/>
        <v>0</v>
      </c>
      <c r="BR112" s="223">
        <f>IF(BM112&lt;$C$11-$C$10+1,0,IF(BL112&lt;=$C$13,VLOOKUP(BL112,$BN$80:$BQ$156,2,FALSE)-BS112,0))</f>
        <v>68139.935544316249</v>
      </c>
      <c r="BS112" s="223">
        <f>IF(BM112&lt;$C$11-$C$10+1,0,IF(BL112&lt;=$C$13,VLOOKUP(BL112,$BN$80:$BQ$156,3,FALSE),0))</f>
        <v>24179.999999999993</v>
      </c>
      <c r="BT112" s="222">
        <f>IF(BM112&lt;$C$11-$C$10+1,0,IF(BL112&lt;=$C$13,VLOOKUP(BL112,$BN$80:$BQ$156,4,FALSE),0))</f>
        <v>2.8180287652736262</v>
      </c>
      <c r="BU112" s="223">
        <f t="shared" si="43"/>
        <v>243931.98160847233</v>
      </c>
      <c r="BV112" s="223">
        <f t="shared" si="44"/>
        <v>0</v>
      </c>
      <c r="BW112" s="223">
        <f t="shared" si="118"/>
        <v>243931.98160847233</v>
      </c>
      <c r="BX112" s="223">
        <f>IF(AND(BS112&lt;=0,BN112=0),MIN((MAX($BZ$80:$BZ$156)-SUM($BX$80:BX111)),CA112),IF(BS112&lt;CA112,BS112,CA112))</f>
        <v>24179.999999999993</v>
      </c>
      <c r="BY112" s="222">
        <f>IF(BN112&gt;0,0,IF(AND(BN112=0,BT112&lt;=0),100%,((BW111*(AVERAGE($BT$80:BT111))+(BR112*BT112))/(BR112+BW111+BS112+BV111))))</f>
        <v>1.019912253629238</v>
      </c>
      <c r="BZ112" s="139">
        <f t="shared" si="46"/>
        <v>430891.77838569693</v>
      </c>
      <c r="CA112" s="122">
        <f t="shared" ref="CA112:CA143" si="131">IF(BB112-BD112&lt;=0,0,BB112-BD112)</f>
        <v>39667.624879910465</v>
      </c>
      <c r="CB112" s="181">
        <f t="shared" si="47"/>
        <v>1.019912253629238</v>
      </c>
      <c r="CC112" s="122">
        <f t="shared" si="48"/>
        <v>718615.16949895723</v>
      </c>
      <c r="CD112" s="182">
        <f t="shared" si="119"/>
        <v>24179.999999999993</v>
      </c>
      <c r="CE112" s="122">
        <f t="shared" si="75"/>
        <v>406891.77838569693</v>
      </c>
      <c r="CF112" s="122">
        <f t="shared" si="76"/>
        <v>24000</v>
      </c>
      <c r="CG112" s="122" t="str">
        <f t="shared" ref="CG112:CG143" si="132">IF(CC112&lt;=0,"",IF(CF112&lt;=0,"","JA"))</f>
        <v>JA</v>
      </c>
      <c r="CH112" s="140">
        <f t="shared" ref="CH112:CH143" si="133">IF(CB112&lt;=0,0,IF(AND(CB112&gt;0,CB112&lt;=1,CG112="JA")=TRUE,CB112,100%))</f>
        <v>1</v>
      </c>
      <c r="CI112" s="142">
        <f t="shared" si="77"/>
        <v>9984</v>
      </c>
      <c r="CJ112" s="134">
        <f>CI112*$C$57</f>
        <v>0</v>
      </c>
      <c r="CK112" s="142">
        <f t="shared" si="78"/>
        <v>14926</v>
      </c>
      <c r="CL112" s="134">
        <f>CK112*$C$57</f>
        <v>0</v>
      </c>
      <c r="CM112" s="142">
        <f t="shared" si="79"/>
        <v>58596</v>
      </c>
      <c r="CN112" s="134">
        <f>CM112*$C$57</f>
        <v>0</v>
      </c>
      <c r="CO112" s="132">
        <f t="shared" si="117"/>
        <v>39667.624879910465</v>
      </c>
      <c r="CP112" s="140">
        <f t="shared" ref="CP112:CP143" si="134">IF(CO112&lt;=0,0,IF(CO112&gt;CM112,$CM$66,IF(AND(CO112&gt;=CI112,CO112&lt;=CK112),($CK$66-$CI$66)/(CK112-CI112)*(CO112-CI112)+$CI$66,IF(AND(CO112&gt;=CK112,CO112&lt;=CM112),($CM$66-$CK$66)/(CM112-CK112)*(CO112-CK112)+$CK$66,0))))</f>
        <v>0.34198059258950958</v>
      </c>
      <c r="CQ112" s="121" t="str">
        <f>IF($C$50="NEIN","NEIN",IF(CS112&lt;CR112,"JA","NEIN"))</f>
        <v>NEIN</v>
      </c>
      <c r="CR112" s="121">
        <f>CO112*$C$46</f>
        <v>10462.336062076385</v>
      </c>
      <c r="CS112" s="121">
        <f t="shared" ref="CS112:CS143" si="135">IF(CO112&lt;=0,0,IF(CO112&gt;CM112,$CM$66*CO112-9267.53,IF(AND(CO112&gt;=CI112,CO112&lt;=CK112),(1008.7*((CO112-CI112)/10000)+1400)*((CO112-CI112)/10000),IF(AND(CO112&gt;=CK112,CO112&lt;=CM112),(206.43*((CO112-CK112)/10000)+2397)*((CO112-CK112)/10000)+938.24,0))))</f>
        <v>8132.464603620142</v>
      </c>
      <c r="CT112" s="201">
        <f>IF($C$50="NEIN",CR112,IF(CQ112="NEIN",CR112,CS112))</f>
        <v>10462.336062076385</v>
      </c>
      <c r="CU112" s="149"/>
      <c r="CV112" s="202">
        <f t="shared" si="80"/>
        <v>9984</v>
      </c>
      <c r="CW112" s="134">
        <f>CV112*$C$57</f>
        <v>0</v>
      </c>
      <c r="CX112" s="142">
        <f t="shared" si="81"/>
        <v>14926</v>
      </c>
      <c r="CY112" s="134">
        <f>CX112*$C$57</f>
        <v>0</v>
      </c>
      <c r="CZ112" s="142">
        <f t="shared" si="82"/>
        <v>58596</v>
      </c>
      <c r="DA112" s="143">
        <f>CZ112*$C$57</f>
        <v>0</v>
      </c>
      <c r="DB112" s="165">
        <f t="shared" si="120"/>
        <v>39667.624879910465</v>
      </c>
      <c r="DC112" s="140">
        <f t="shared" ref="DC112:DC143" si="136">IF(DB112&lt;=0,0,IF(DB112&gt;CZ112,$CZ$76,IF(AND(DB112&gt;=CV112,DB112&lt;=CX112),($CX$76-$CV$76)/(CX112-CV112)*(DB112-CV112)+$CV$76,IF(AND(DB112&gt;=CX112,DB112&lt;=CZ112),($CZ$76-$CX$76)/(CZ112-CX112)*(DB112-CX112)+$CX$76,0))))</f>
        <v>0.34198059258950958</v>
      </c>
      <c r="DD112" s="121" t="str">
        <f>IF($C$50="NEIN","NEIN",IF(DF112&lt;DE112,"JA","NEIN"))</f>
        <v>NEIN</v>
      </c>
      <c r="DE112" s="121">
        <f>DB112*$C$46</f>
        <v>10462.336062076385</v>
      </c>
      <c r="DF112" s="121">
        <f t="shared" ref="DF112:DF143" si="137">IF(DB112&lt;=0,0,IF(DB112&gt;CZ112,$CZ$76*DB112-9267.53,IF(AND(DB112&gt;=CV112,DB112&lt;=CX112),(1008.7*((DB112-CV112)/10000)+1400)*((DB112-CV112)/10000),IF(AND(DB112&gt;=CX112,DB112&lt;=CZ112),(206.43*((DB112-CX112)/10000)+2397)*((DB112-CX112)/10000)+938.24,0))))</f>
        <v>8132.464603620142</v>
      </c>
      <c r="DG112" s="201">
        <f>IF($C$50="NEIN",DE112,IF(DD112="NEIN",DE112,DF112))</f>
        <v>10462.336062076385</v>
      </c>
      <c r="DH112" s="159"/>
      <c r="DI112" s="74"/>
      <c r="DJ112" s="74"/>
      <c r="DK112" s="128"/>
      <c r="DL112" s="128"/>
      <c r="DM112" s="128"/>
      <c r="DN112" s="74"/>
      <c r="DO112" s="28">
        <f t="shared" si="83"/>
        <v>2053</v>
      </c>
      <c r="DP112" s="17">
        <f>IF($C$13+$C$10&gt;=DO112,-AG112,IF(DO112=$C$13+$C$10+1,$EK$93,0))</f>
        <v>0</v>
      </c>
      <c r="DQ112" s="17">
        <f t="shared" si="84"/>
        <v>876704.07800740562</v>
      </c>
      <c r="DR112" s="17">
        <f t="shared" si="85"/>
        <v>2065360.4277532287</v>
      </c>
      <c r="DS112" s="17">
        <f t="shared" si="51"/>
        <v>34579.493521005897</v>
      </c>
      <c r="DT112" s="17">
        <f t="shared" ref="DT112:DT143" si="138">(DR112+DS112)*(1+$EK$82)</f>
        <v>2246935.715763431</v>
      </c>
      <c r="DU112" s="17">
        <f t="shared" si="86"/>
        <v>146995.7944891965</v>
      </c>
      <c r="DV112" s="33">
        <f t="shared" ref="DV112:DV143" si="139">IF(DU112&gt;0,MIN(DU112,(DR112+DS112)*$EK$85*0.7),0)</f>
        <v>1028.9705614243749</v>
      </c>
      <c r="DW112" s="32">
        <f t="shared" ref="DW112:DW143" si="140">DT112*$EK$83</f>
        <v>44938.714315268619</v>
      </c>
      <c r="DX112" s="17">
        <f t="shared" si="87"/>
        <v>0</v>
      </c>
      <c r="DY112" s="17">
        <f t="shared" si="88"/>
        <v>0</v>
      </c>
      <c r="DZ112" s="17">
        <f t="shared" ref="DZ112:DZ143" si="141">IF(DX112*$EK$86&gt;$EK$87,(DX112*$EK$86-$EK$87)*$EK$84,0)</f>
        <v>0</v>
      </c>
      <c r="EA112" s="17">
        <f t="shared" si="53"/>
        <v>8085.5463804564679</v>
      </c>
      <c r="EB112" s="15">
        <f t="shared" si="54"/>
        <v>36853.167934812154</v>
      </c>
      <c r="EC112" s="15">
        <f>IF(DP112=0,EC111,IF(DO112&lt;=$EK$88+$C$10,ABS(DP112)+EC111,EC111))</f>
        <v>430891.77838569693</v>
      </c>
      <c r="ED112" s="15">
        <f t="shared" si="89"/>
        <v>100899.72918488145</v>
      </c>
      <c r="EE112" s="16">
        <f t="shared" si="90"/>
        <v>2246935.715763431</v>
      </c>
      <c r="EF112" s="15">
        <f t="shared" ref="EF112:EF143" si="142">IF(DS112&lt;=0,0,DS112-AG112)</f>
        <v>34579.493521005897</v>
      </c>
      <c r="EG112" s="15">
        <f t="shared" si="91"/>
        <v>445812.29962170898</v>
      </c>
      <c r="EH112" s="16"/>
      <c r="EI112" s="16"/>
      <c r="EJ112"/>
      <c r="EK112"/>
      <c r="EL112"/>
      <c r="EM112" s="28">
        <f t="shared" si="92"/>
        <v>2053</v>
      </c>
      <c r="EN112" s="29">
        <f>IF($C$13+$C$10&gt;=EM112,-(AG112),IF(EM112=$C$13+$C$10+1,$FB$93,0))</f>
        <v>0</v>
      </c>
      <c r="EO112" s="30">
        <f t="shared" si="93"/>
        <v>430891.77838569693</v>
      </c>
      <c r="EP112" s="30">
        <f t="shared" si="94"/>
        <v>2284172.4006458581</v>
      </c>
      <c r="EQ112" s="30">
        <f t="shared" si="56"/>
        <v>0</v>
      </c>
      <c r="ER112" s="25">
        <f t="shared" ref="ER112:ER143" si="143">(EP112+EQ112)*(1+$FB$82)</f>
        <v>2444064.4686910682</v>
      </c>
      <c r="ES112" s="30">
        <f t="shared" si="95"/>
        <v>159892.06804521009</v>
      </c>
      <c r="ET112" s="26">
        <f t="shared" ref="ET112:ET143" si="144">IF(ES112&gt;0,(EP112+EQ112)*$FB$85*0.7,0)</f>
        <v>1119.2444763164704</v>
      </c>
      <c r="EU112" s="30">
        <f t="shared" si="96"/>
        <v>1119.2444763164704</v>
      </c>
      <c r="EV112" s="25">
        <f t="shared" ref="EV112:EV143" si="145">IF(EU112*$FB$84*$FB$86&lt;=$FB$87,0,EU112*$FB$84*$FB$86)</f>
        <v>0</v>
      </c>
      <c r="EW112" s="31">
        <f t="shared" si="97"/>
        <v>14092.208832137585</v>
      </c>
      <c r="EX112" s="27">
        <f>IF(EM112=0,EX111,IF(EM112&lt;=$FB$88+$C$10,ABS(EN112)+EX111,EX111))</f>
        <v>430891.77838569693</v>
      </c>
      <c r="EY112" s="15"/>
      <c r="EZ112"/>
      <c r="FA112"/>
      <c r="FB112"/>
      <c r="FC112" s="74"/>
      <c r="FD112" s="74"/>
      <c r="FE112" s="74"/>
      <c r="FF112" s="74"/>
      <c r="FG112" s="74"/>
      <c r="FH112" s="74"/>
      <c r="FI112" s="74"/>
      <c r="FJ112" s="28">
        <f t="shared" si="98"/>
        <v>2053</v>
      </c>
      <c r="FK112" s="65">
        <f>IF($C$13+$C$10&gt;=FJ112,-AG112,IF(FJ112=$C$13+$C$10+1,$EK$93,0))</f>
        <v>0</v>
      </c>
      <c r="FL112" s="65">
        <f t="shared" si="99"/>
        <v>74118.803999999975</v>
      </c>
      <c r="FM112" s="65">
        <f t="shared" si="100"/>
        <v>322673.6994952563</v>
      </c>
      <c r="FN112" s="65">
        <f t="shared" si="59"/>
        <v>0</v>
      </c>
      <c r="FO112" s="65">
        <f t="shared" ref="FO112:FO143" si="146">(FM112+FN112)*(1+$GF$82)</f>
        <v>345260.85845992423</v>
      </c>
      <c r="FP112" s="65">
        <f t="shared" si="101"/>
        <v>22587.158964667935</v>
      </c>
      <c r="FQ112" s="59">
        <f t="shared" ref="FQ112:FQ143" si="147">IF(FP112&gt;0,MIN(FP112,(FM112+FN112)*$GF$85*0.7),0)</f>
        <v>158.11011275267558</v>
      </c>
      <c r="FR112" s="60">
        <f t="shared" ref="FR112:FR143" si="148">FO112*$GF$83</f>
        <v>6905.217169198485</v>
      </c>
      <c r="FS112" s="65">
        <f t="shared" si="102"/>
        <v>0</v>
      </c>
      <c r="FT112" s="65">
        <f t="shared" si="103"/>
        <v>0</v>
      </c>
      <c r="FU112" s="65">
        <f t="shared" ref="FU112:FU143" si="149">IF(FS112*$GF$86&gt;$GF$87,(FS112*$GF$86-$GF$87)*$GF$84,0)</f>
        <v>0</v>
      </c>
      <c r="FV112" s="65">
        <f t="shared" si="61"/>
        <v>1063.6119698632701</v>
      </c>
      <c r="FW112" s="61">
        <f t="shared" si="62"/>
        <v>5841.6051993352148</v>
      </c>
      <c r="FX112" s="61">
        <f>IF(AND(FJ112&lt;=$GF$88+$C$10,FV111&lt;=0,FN112&gt;0),(FJ112-$C$10+1)*AG112+$GF$80,FX111)</f>
        <v>73074.599999999977</v>
      </c>
      <c r="FY112" s="62">
        <f t="shared" si="63"/>
        <v>5.0345218707102859</v>
      </c>
      <c r="FZ112" s="63">
        <f t="shared" si="104"/>
        <v>345260.85845992423</v>
      </c>
      <c r="GA112" s="64">
        <f t="shared" si="105"/>
        <v>6585.1775407195164</v>
      </c>
      <c r="GB112" s="64">
        <f t="shared" si="106"/>
        <v>109445.98279009215</v>
      </c>
      <c r="GC112" s="66">
        <f t="shared" ref="GC112:GC143" si="150">IF(FN112&lt;=0,0,FN112-AG112)</f>
        <v>0</v>
      </c>
      <c r="GD112" s="64">
        <f t="shared" si="107"/>
        <v>1580.6039999999994</v>
      </c>
      <c r="GE112"/>
      <c r="GF112"/>
      <c r="GG112" s="74"/>
      <c r="GH112" s="74"/>
      <c r="GI112" s="28">
        <f t="shared" si="108"/>
        <v>2053</v>
      </c>
      <c r="GJ112" s="9">
        <f>IF($GX$88+$C$10&gt;=GI112,-AG112,IF(GI112=$GX$88+$C$10+1,$FB$93,0))</f>
        <v>0</v>
      </c>
      <c r="GK112" s="5">
        <f t="shared" si="109"/>
        <v>450732.87368794868</v>
      </c>
      <c r="GL112" s="5">
        <f t="shared" si="110"/>
        <v>1922711.3802982578</v>
      </c>
      <c r="GM112" s="35">
        <f t="shared" si="65"/>
        <v>5418.0916831446366</v>
      </c>
      <c r="GN112" s="4">
        <f t="shared" ref="GN112:GN143" si="151">(GL112+GM112)*(1+$GX$82)</f>
        <v>2063098.5350201009</v>
      </c>
      <c r="GO112" s="5">
        <f t="shared" si="111"/>
        <v>134969.0630386984</v>
      </c>
      <c r="GP112" s="5">
        <f t="shared" ref="GP112:GP143" si="152">IF(GO112&gt;0,(GL112+GM112)*$GX$85*0.7,0)</f>
        <v>944.78344127088712</v>
      </c>
      <c r="GQ112" s="5">
        <f t="shared" si="112"/>
        <v>944.78344127088712</v>
      </c>
      <c r="GR112" s="4">
        <f t="shared" ref="GR112:GR143" si="153">IF($DG$62&lt;&gt;0,GQ112*$GX$86*$GX$84,IF(GQ112*$GX$86*$GX$84&lt;=$GX$87,0,GQ112*$GX$86*$GX$84))</f>
        <v>174.4306428446375</v>
      </c>
      <c r="GS112" s="7">
        <f t="shared" si="113"/>
        <v>11286.559629325053</v>
      </c>
      <c r="GT112" s="107" t="e">
        <f>IF($DG$62=0,EX112,IF(GI112-$C$10+1&lt;=$GF$98,0,#REF!-FX112))</f>
        <v>#REF!</v>
      </c>
      <c r="GU112"/>
      <c r="GV112"/>
      <c r="GW112"/>
      <c r="GX112"/>
      <c r="GY112" s="74"/>
      <c r="GZ112" s="74"/>
      <c r="HA112" s="74"/>
      <c r="HB112" s="74"/>
      <c r="HC112" s="74"/>
      <c r="HD112" s="74"/>
    </row>
    <row r="113" spans="2:212" ht="16.149999999999999" thickBot="1" x14ac:dyDescent="0.55000000000000004">
      <c r="B113" s="333"/>
      <c r="C113" s="75"/>
      <c r="D113" s="75"/>
      <c r="F113" s="75"/>
      <c r="G113" s="75"/>
      <c r="H113" s="75"/>
      <c r="I113" s="75"/>
      <c r="J113" s="75"/>
      <c r="K113" s="75"/>
      <c r="L113" s="75"/>
      <c r="M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AB113" s="117" t="str">
        <f t="shared" si="34"/>
        <v/>
      </c>
      <c r="AC113" s="117" t="str">
        <f t="shared" si="35"/>
        <v/>
      </c>
      <c r="AD113" s="299">
        <f>IF($C$20="NEIN",$C$21,IF($C$22="JA",'HISTORISCHE RENDITEN'!E37,'HISTORISCHE RENDITEN'!D37))</f>
        <v>-7.6100000000000001E-2</v>
      </c>
      <c r="AE113" s="129">
        <f t="shared" si="122"/>
        <v>61</v>
      </c>
      <c r="AF113" s="120">
        <f t="shared" ref="AF113:AF144" si="154">AF112+1</f>
        <v>2054</v>
      </c>
      <c r="AG113" s="122">
        <f t="shared" si="123"/>
        <v>0</v>
      </c>
      <c r="AH113" s="124">
        <f t="shared" ref="AH113:AH144" si="155">AH112+AJ113</f>
        <v>430891.77838569693</v>
      </c>
      <c r="AI113" s="296">
        <f t="shared" si="114"/>
        <v>1123131.6723044363</v>
      </c>
      <c r="AJ113" s="123">
        <f t="shared" si="67"/>
        <v>0</v>
      </c>
      <c r="AK113" s="124">
        <f t="shared" ref="AK113:AK144" si="156">(AI113+AJ113)*(1+AD113)</f>
        <v>1037661.3520420686</v>
      </c>
      <c r="AL113" s="122">
        <f t="shared" si="124"/>
        <v>-85470.320262367721</v>
      </c>
      <c r="AM113" s="122" t="b">
        <f>IF($C$25="Ausschütter",0,IF(AL113&gt;=0,(AI113+AJ113)*$C$48*0.7))</f>
        <v>0</v>
      </c>
      <c r="AN113" s="122">
        <f t="shared" si="125"/>
        <v>0</v>
      </c>
      <c r="AO113" s="122">
        <f t="shared" si="39"/>
        <v>0</v>
      </c>
      <c r="AP113" s="122">
        <f t="shared" si="69"/>
        <v>10969.709879368704</v>
      </c>
      <c r="AQ113" s="122">
        <f>IF($C$25="AUSSCHÜTTER",0,IF(AO113*$C$46*$C$49&lt;=$C$47,0,AO113*$C$46*$C$49))</f>
        <v>0</v>
      </c>
      <c r="AR113" s="122">
        <f>IF(AO112*$C$49&gt;$C$47,(AN113)*$C$49*$C$46,IF((AO112+AN113)*$C$49&gt;$C$47,((AO112+AN113)*$C$49-$C$47)*$C$46,0))</f>
        <v>0</v>
      </c>
      <c r="AS113" s="122">
        <f t="shared" si="70"/>
        <v>0</v>
      </c>
      <c r="AT113" s="122">
        <f t="shared" ref="AT113:AT144" si="157">IF(AG113=0,AT112,IF(AF113&lt;=$C$13+$C$10,ABS(AG113)+AT112,AT112))</f>
        <v>430891.77838569693</v>
      </c>
      <c r="AU113" s="122">
        <f t="shared" si="115"/>
        <v>0</v>
      </c>
      <c r="AV113" s="122">
        <f t="shared" si="71"/>
        <v>1037661.3520420686</v>
      </c>
      <c r="AW113" s="122">
        <f t="shared" ref="AW113:AW144" si="158">IF(OR($C$25="THESAURIERER",$C$27="NEIN"),0,IF(AS112&lt;=0,0,AS112))</f>
        <v>0</v>
      </c>
      <c r="AX113" s="130">
        <f t="shared" ref="AX113:AX144" si="159">IF($C$25="THESAURIERER",0,AW113+AX112)</f>
        <v>0</v>
      </c>
      <c r="AY113" s="82">
        <f>IF(AF113&lt;$C$11,$C$15*(1+$C$19)^(AF113-$C$10),0)</f>
        <v>0</v>
      </c>
      <c r="AZ113" s="82">
        <f>$C$14*(1+$C$37)^(AF113-$C$10)</f>
        <v>40659.315501908226</v>
      </c>
      <c r="BA113" s="165">
        <f>IF(AF113&lt;$C$11,0,MAX($C$38*AI113,AZ113))</f>
        <v>40659.315501908226</v>
      </c>
      <c r="BB113" s="82">
        <f>IF(AF113&lt;$C$11,0,MAX($C$38*AI113,AZ113))</f>
        <v>40659.315501908226</v>
      </c>
      <c r="BC113" s="136">
        <f>IF($C$39="JA",CT113,DG113)</f>
        <v>10723.894463628294</v>
      </c>
      <c r="BD113" s="82">
        <f t="shared" si="126"/>
        <v>0</v>
      </c>
      <c r="BE113" s="82">
        <f>IF(AF113&lt;($C$8+$C$30),0,$C$29*12*(1-$C$31))</f>
        <v>0</v>
      </c>
      <c r="BF113" s="82">
        <f>IF(AF113&lt;($C$8+$C$34),0,$C$33*12*(1-$C$35))</f>
        <v>0</v>
      </c>
      <c r="BG113" s="82">
        <f>IF(AF113&lt;$C$11,0,IF(AI113&lt;0,$C$42*(1+$C$44)^(AF113-$C$10),IF(((AL113+BE113+BF113)*$C$41)&lt;$C$42*(1+$C$44)^(AF113-$C$10),$C$42*(1+$C$44)^(AF113-$C$10),IF(((AL113+BE113+BF113)*$C$41)&lt;$C$43*(1+$C$44)^(AF113-$C$10),(AL113+BE113+BF113)*$C$41,IF(((AL113+BE113+BF113+BB113)*$C$41)&lt;$C$43*(1+$C$44)^(AF113-$C$10),((AL113+BE113+BF113+BB113)*$C$41),$C$43*(1+$C$44)^(AF113-$C$10))))))</f>
        <v>3922.7500438980296</v>
      </c>
      <c r="BH113" s="82">
        <f t="shared" si="72"/>
        <v>55305.960009434551</v>
      </c>
      <c r="BI113" s="242">
        <f t="shared" si="73"/>
        <v>1037661.3520420686</v>
      </c>
      <c r="BJ113" s="217">
        <f t="shared" si="74"/>
        <v>982355.392032634</v>
      </c>
      <c r="BK113" s="118"/>
      <c r="BL113" s="219">
        <f t="shared" si="127"/>
        <v>17</v>
      </c>
      <c r="BM113" s="220">
        <f t="shared" si="128"/>
        <v>34</v>
      </c>
      <c r="BN113" s="220">
        <f t="shared" si="121"/>
        <v>0</v>
      </c>
      <c r="BO113" s="221">
        <f t="shared" si="129"/>
        <v>0</v>
      </c>
      <c r="BP113" s="221">
        <f t="shared" si="130"/>
        <v>0</v>
      </c>
      <c r="BQ113" s="222">
        <f t="shared" si="9"/>
        <v>0</v>
      </c>
      <c r="BR113" s="223">
        <f>IF(BM113&lt;$C$11-$C$10+1,0,IF(BL113&lt;=$C$13,VLOOKUP(BL113,$BN$80:$BQ$156,2,FALSE)-BS113,0))</f>
        <v>75635.794340387787</v>
      </c>
      <c r="BS113" s="223">
        <f>IF(BM113&lt;$C$11-$C$10+1,0,IF(BL113&lt;=$C$13,VLOOKUP(BL113,$BN$80:$BQ$156,3,FALSE),0))</f>
        <v>24000</v>
      </c>
      <c r="BT113" s="222">
        <f>IF(BM113&lt;$C$11-$C$10+1,0,IF(BL113&lt;=$C$13,VLOOKUP(BL113,$BN$80:$BQ$156,4,FALSE),0))</f>
        <v>3.1514914308494912</v>
      </c>
      <c r="BU113" s="223">
        <f t="shared" ref="BU113:BU144" si="160">IF((BR113+BS113)-CA113+BU112&lt;0,0,(BR113+BS113)-CA113+BU112)</f>
        <v>302908.46044695191</v>
      </c>
      <c r="BV113" s="223">
        <f t="shared" ref="BV113:BV144" si="161">IF(BS113-CA113+BV112&gt;0,BS113-CA113+BV112,0)</f>
        <v>0</v>
      </c>
      <c r="BW113" s="223">
        <f t="shared" si="118"/>
        <v>302908.46044695191</v>
      </c>
      <c r="BX113" s="223">
        <f>IF(AND(BS113&lt;=0,BN113=0),MIN((MAX($BZ$80:$BZ$156)-SUM($BX$80:BX112)),CA113),IF(BS113&lt;CA113,BS113,CA113))</f>
        <v>24000</v>
      </c>
      <c r="BY113" s="222">
        <f>IF(BN113&gt;0,0,IF(AND(BN113=0,BT113&lt;=0),100%,((BW112*(AVERAGE($BT$80:BT112))+(BR113*BT113))/(BR113+BW112+BS113+BV112))))</f>
        <v>1.1043763604217309</v>
      </c>
      <c r="BZ113" s="139">
        <f t="shared" ref="BZ113:BZ144" si="162">AG113+BZ112</f>
        <v>430891.77838569693</v>
      </c>
      <c r="CA113" s="122">
        <f t="shared" si="131"/>
        <v>40659.315501908226</v>
      </c>
      <c r="CB113" s="181">
        <f t="shared" si="47"/>
        <v>1.1043763604217309</v>
      </c>
      <c r="CC113" s="122">
        <f t="shared" si="48"/>
        <v>759274.48500086542</v>
      </c>
      <c r="CD113" s="182">
        <f t="shared" si="119"/>
        <v>24000</v>
      </c>
      <c r="CE113" s="122">
        <f t="shared" si="75"/>
        <v>430891.77838569693</v>
      </c>
      <c r="CF113" s="122">
        <f t="shared" si="76"/>
        <v>0</v>
      </c>
      <c r="CG113" s="122" t="str">
        <f t="shared" si="132"/>
        <v/>
      </c>
      <c r="CH113" s="140">
        <f t="shared" si="133"/>
        <v>1</v>
      </c>
      <c r="CI113" s="142">
        <f t="shared" si="77"/>
        <v>9984</v>
      </c>
      <c r="CJ113" s="134">
        <f>CI113*$C$57</f>
        <v>0</v>
      </c>
      <c r="CK113" s="142">
        <f t="shared" si="78"/>
        <v>14926</v>
      </c>
      <c r="CL113" s="134">
        <f>CK113*$C$57</f>
        <v>0</v>
      </c>
      <c r="CM113" s="142">
        <f t="shared" si="79"/>
        <v>58596</v>
      </c>
      <c r="CN113" s="134">
        <f>CM113*$C$57</f>
        <v>0</v>
      </c>
      <c r="CO113" s="132">
        <f t="shared" si="117"/>
        <v>40659.315501908226</v>
      </c>
      <c r="CP113" s="140">
        <f t="shared" si="134"/>
        <v>0.34606816556774628</v>
      </c>
      <c r="CQ113" s="121" t="str">
        <f>IF($C$50="NEIN","NEIN",IF(CS113&lt;CR113,"JA","NEIN"))</f>
        <v>NEIN</v>
      </c>
      <c r="CR113" s="121">
        <f>CO113*$C$46</f>
        <v>10723.894463628294</v>
      </c>
      <c r="CS113" s="121">
        <f t="shared" si="135"/>
        <v>8473.5024660170475</v>
      </c>
      <c r="CT113" s="201">
        <f>IF($C$50="NEIN",CR113,IF(CQ113="NEIN",CR113,CS113))</f>
        <v>10723.894463628294</v>
      </c>
      <c r="CU113" s="149"/>
      <c r="CV113" s="202">
        <f t="shared" si="80"/>
        <v>9984</v>
      </c>
      <c r="CW113" s="134">
        <f>CV113*$C$57</f>
        <v>0</v>
      </c>
      <c r="CX113" s="142">
        <f t="shared" si="81"/>
        <v>14926</v>
      </c>
      <c r="CY113" s="134">
        <f>CX113*$C$57</f>
        <v>0</v>
      </c>
      <c r="CZ113" s="142">
        <f t="shared" si="82"/>
        <v>58596</v>
      </c>
      <c r="DA113" s="143">
        <f>CZ113*$C$57</f>
        <v>0</v>
      </c>
      <c r="DB113" s="165">
        <f t="shared" si="120"/>
        <v>40659.315501908226</v>
      </c>
      <c r="DC113" s="140">
        <f t="shared" si="136"/>
        <v>0.34606816556774628</v>
      </c>
      <c r="DD113" s="121" t="str">
        <f>IF($C$50="NEIN","NEIN",IF(DF113&lt;DE113,"JA","NEIN"))</f>
        <v>NEIN</v>
      </c>
      <c r="DE113" s="121">
        <f>DB113*$C$46</f>
        <v>10723.894463628294</v>
      </c>
      <c r="DF113" s="121">
        <f t="shared" si="137"/>
        <v>8473.5024660170475</v>
      </c>
      <c r="DG113" s="201">
        <f>IF($C$50="NEIN",DE113,IF(DD113="NEIN",DE113,DF113))</f>
        <v>10723.894463628294</v>
      </c>
      <c r="DH113" s="159"/>
      <c r="DI113" s="74"/>
      <c r="DJ113" s="74"/>
      <c r="DK113" s="128"/>
      <c r="DL113" s="128"/>
      <c r="DM113" s="128"/>
      <c r="DN113" s="74"/>
      <c r="DO113" s="28">
        <f t="shared" si="83"/>
        <v>2054</v>
      </c>
      <c r="DP113" s="17">
        <f>IF($C$13+$C$10&gt;=DO113,-AG113,IF(DO113=$C$13+$C$10+1,$EK$93,0))</f>
        <v>0</v>
      </c>
      <c r="DQ113" s="17">
        <f t="shared" si="84"/>
        <v>913557.24594221776</v>
      </c>
      <c r="DR113" s="17">
        <f t="shared" si="85"/>
        <v>2201997.0014481624</v>
      </c>
      <c r="DS113" s="17">
        <f t="shared" ref="DS113:DS144" si="163">AG113+EB112</f>
        <v>36853.167934812154</v>
      </c>
      <c r="DT113" s="17">
        <f t="shared" si="138"/>
        <v>2395569.6812397828</v>
      </c>
      <c r="DU113" s="17">
        <f t="shared" si="86"/>
        <v>156719.51185680833</v>
      </c>
      <c r="DV113" s="33">
        <f t="shared" si="139"/>
        <v>1097.0365829976574</v>
      </c>
      <c r="DW113" s="32">
        <f t="shared" si="140"/>
        <v>47911.393624795659</v>
      </c>
      <c r="DX113" s="17">
        <f t="shared" si="87"/>
        <v>0</v>
      </c>
      <c r="DY113" s="17">
        <f t="shared" si="88"/>
        <v>0</v>
      </c>
      <c r="DZ113" s="17">
        <f t="shared" si="141"/>
        <v>0</v>
      </c>
      <c r="EA113" s="17">
        <f t="shared" ref="EA113:EA144" si="164">IF(DX112*$EK$86&gt;$EK$87,(DW113)*$EK$86*$EK$84,IF((DX112+DW113)*$EK$86&gt;$EK$87,((DX112+DW113)*$EK$86-$EK$87)*$EK$84,0))</f>
        <v>8634.3772979778969</v>
      </c>
      <c r="EB113" s="15">
        <f t="shared" ref="EB113:EB144" si="165">IF($C$27="JA",DW113-EA113-DZ113,0)</f>
        <v>39277.016326817764</v>
      </c>
      <c r="EC113" s="15">
        <f>IF(DP113=0,EC112,IF(DO113&lt;=$EK$88+$C$10,ABS(DP113)+EC112,EC112))</f>
        <v>430891.77838569693</v>
      </c>
      <c r="ED113" s="15">
        <f t="shared" si="89"/>
        <v>109534.10648285935</v>
      </c>
      <c r="EE113" s="16">
        <f t="shared" si="90"/>
        <v>2395569.6812397828</v>
      </c>
      <c r="EF113" s="15">
        <f t="shared" si="142"/>
        <v>36853.167934812154</v>
      </c>
      <c r="EG113" s="15">
        <f t="shared" si="91"/>
        <v>482665.46755652112</v>
      </c>
      <c r="EH113" s="16"/>
      <c r="EI113" s="16"/>
      <c r="EJ113"/>
      <c r="EK113"/>
      <c r="EL113"/>
      <c r="EM113" s="28">
        <f t="shared" si="92"/>
        <v>2054</v>
      </c>
      <c r="EN113" s="29">
        <f>IF($C$13+$C$10&gt;=EM113,-(AG113),IF(EM113=$C$13+$C$10+1,$FB$93,0))</f>
        <v>0</v>
      </c>
      <c r="EO113" s="30">
        <f t="shared" si="93"/>
        <v>430891.77838569693</v>
      </c>
      <c r="EP113" s="30">
        <f t="shared" si="94"/>
        <v>2444064.4686910682</v>
      </c>
      <c r="EQ113" s="30">
        <f t="shared" ref="EQ113:EQ144" si="166">AG113-EV112</f>
        <v>0</v>
      </c>
      <c r="ER113" s="25">
        <f t="shared" si="143"/>
        <v>2615148.9814994433</v>
      </c>
      <c r="ES113" s="30">
        <f t="shared" si="95"/>
        <v>171084.51280837506</v>
      </c>
      <c r="ET113" s="26">
        <f t="shared" si="144"/>
        <v>1197.5915896586234</v>
      </c>
      <c r="EU113" s="30">
        <f t="shared" si="96"/>
        <v>1197.5915896586234</v>
      </c>
      <c r="EV113" s="25">
        <f t="shared" si="145"/>
        <v>0</v>
      </c>
      <c r="EW113" s="31">
        <f t="shared" si="97"/>
        <v>15289.800421796208</v>
      </c>
      <c r="EX113" s="27">
        <f>IF(EM113=0,EX112,IF(EM113&lt;=$FB$88+$C$10,ABS(EN113)+EX112,EX112))</f>
        <v>430891.77838569693</v>
      </c>
      <c r="EY113" s="15"/>
      <c r="EZ113"/>
      <c r="FA113"/>
      <c r="FB113"/>
      <c r="FC113" s="74"/>
      <c r="FD113" s="74"/>
      <c r="FE113" s="74"/>
      <c r="FF113" s="74"/>
      <c r="FG113" s="74"/>
      <c r="FH113" s="74"/>
      <c r="FI113" s="74"/>
      <c r="FJ113" s="28">
        <f t="shared" si="98"/>
        <v>2054</v>
      </c>
      <c r="FK113" s="65">
        <f>IF($C$13+$C$10&gt;=FJ113,-AG113,IF(FJ113=$C$13+$C$10+1,$EK$93,0))</f>
        <v>0</v>
      </c>
      <c r="FL113" s="65">
        <f t="shared" si="99"/>
        <v>74118.803999999975</v>
      </c>
      <c r="FM113" s="65">
        <f t="shared" si="100"/>
        <v>338355.64129072573</v>
      </c>
      <c r="FN113" s="65">
        <f t="shared" ref="FN113:FN144" si="167">IF(FY112&gt;=$GF$97,0,AG113+FW112)</f>
        <v>0</v>
      </c>
      <c r="FO113" s="65">
        <f t="shared" si="146"/>
        <v>362040.53618107655</v>
      </c>
      <c r="FP113" s="65">
        <f t="shared" si="101"/>
        <v>23684.894890350814</v>
      </c>
      <c r="FQ113" s="59">
        <f t="shared" si="147"/>
        <v>165.79426423245559</v>
      </c>
      <c r="FR113" s="60">
        <f t="shared" si="148"/>
        <v>7240.810723621531</v>
      </c>
      <c r="FS113" s="65">
        <f t="shared" si="102"/>
        <v>0</v>
      </c>
      <c r="FT113" s="65">
        <f t="shared" si="103"/>
        <v>0</v>
      </c>
      <c r="FU113" s="65">
        <f t="shared" si="149"/>
        <v>0</v>
      </c>
      <c r="FV113" s="65">
        <f t="shared" ref="FV113:FV144" si="168">IF(FS112*$GF$86&gt;$GF$87,(FR113)*$GF$86*$GF$84,IF((FS112+FR113)*$GF$86&gt;$GF$87,((FS112+FR113)*$GF$86-$GF$87)*$GF$84,0))</f>
        <v>1125.5709298486252</v>
      </c>
      <c r="FW113" s="61">
        <f t="shared" ref="FW113:FW144" si="169">IF($C$27="JA",FR113-FV113-FU113,0)</f>
        <v>6115.2397937729056</v>
      </c>
      <c r="FX113" s="61">
        <f>IF(AND(FJ113&lt;=$GF$88+$C$10,FV112&lt;=0,FN113&gt;0),(FJ113-$C$10+1)*AG113+$GF$80,FX112)</f>
        <v>73074.599999999977</v>
      </c>
      <c r="FY113" s="62">
        <f t="shared" ref="FY113:FY144" si="170">((FS112+FR113)*$GF$86-$GF$87)/$GF$87</f>
        <v>5.3277996336268059</v>
      </c>
      <c r="FZ113" s="63">
        <f t="shared" si="104"/>
        <v>362040.53618107655</v>
      </c>
      <c r="GA113" s="64">
        <f t="shared" si="105"/>
        <v>6905.217169198485</v>
      </c>
      <c r="GB113" s="64">
        <f t="shared" si="106"/>
        <v>116351.19995929064</v>
      </c>
      <c r="GC113" s="66">
        <f t="shared" si="150"/>
        <v>0</v>
      </c>
      <c r="GD113" s="64">
        <f t="shared" si="107"/>
        <v>1580.6039999999994</v>
      </c>
      <c r="GE113"/>
      <c r="GF113"/>
      <c r="GG113" s="74"/>
      <c r="GH113" s="74"/>
      <c r="GI113" s="28">
        <f t="shared" si="108"/>
        <v>2054</v>
      </c>
      <c r="GJ113" s="9">
        <f>IF($GX$88+$C$10&gt;=GI113,-AG113,IF(GI113=$GX$88+$C$10+1,$FB$93,0))</f>
        <v>0</v>
      </c>
      <c r="GK113" s="5">
        <f t="shared" si="109"/>
        <v>456400.04824443924</v>
      </c>
      <c r="GL113" s="5">
        <f t="shared" si="110"/>
        <v>2063098.5350201009</v>
      </c>
      <c r="GM113" s="35">
        <f t="shared" ref="GM113:GM144" si="171">IF(FX112=$GF$94,AG113-GR112+FW112,0)</f>
        <v>5667.1745564905777</v>
      </c>
      <c r="GN113" s="4">
        <f t="shared" si="151"/>
        <v>2213579.3092469531</v>
      </c>
      <c r="GO113" s="5">
        <f t="shared" si="111"/>
        <v>144813.59967036173</v>
      </c>
      <c r="GP113" s="5">
        <f t="shared" si="152"/>
        <v>1013.6951976925297</v>
      </c>
      <c r="GQ113" s="5">
        <f t="shared" si="112"/>
        <v>1013.6951976925297</v>
      </c>
      <c r="GR113" s="4">
        <f t="shared" si="153"/>
        <v>187.1534758739833</v>
      </c>
      <c r="GS113" s="7">
        <f t="shared" si="113"/>
        <v>12300.254827017583</v>
      </c>
      <c r="GT113" s="107" t="e">
        <f>IF($DG$62=0,EX113,IF(GI113-$C$10+1&lt;=$GF$98,0,#REF!-FX113))</f>
        <v>#REF!</v>
      </c>
      <c r="GU113"/>
      <c r="GV113"/>
      <c r="GW113"/>
      <c r="GX113"/>
      <c r="GY113" s="74"/>
      <c r="GZ113" s="74"/>
      <c r="HA113" s="74"/>
      <c r="HB113" s="74"/>
      <c r="HC113" s="74"/>
      <c r="HD113" s="74"/>
    </row>
    <row r="114" spans="2:212" ht="16.149999999999999" thickBot="1" x14ac:dyDescent="0.55000000000000004">
      <c r="B114" s="333"/>
      <c r="C114" s="75"/>
      <c r="D114" s="75"/>
      <c r="F114" s="75"/>
      <c r="G114" s="75"/>
      <c r="H114" s="75"/>
      <c r="I114" s="75"/>
      <c r="J114" s="75"/>
      <c r="K114" s="75"/>
      <c r="L114" s="75"/>
      <c r="M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AB114" s="117" t="str">
        <f t="shared" si="34"/>
        <v/>
      </c>
      <c r="AC114" s="117" t="str">
        <f t="shared" si="35"/>
        <v/>
      </c>
      <c r="AD114" s="299">
        <f>IF($C$20="NEIN",$C$21,IF($C$22="JA",'HISTORISCHE RENDITEN'!E38,'HISTORISCHE RENDITEN'!D38))</f>
        <v>0.1318</v>
      </c>
      <c r="AE114" s="129">
        <f t="shared" si="122"/>
        <v>62</v>
      </c>
      <c r="AF114" s="120">
        <f t="shared" si="154"/>
        <v>2055</v>
      </c>
      <c r="AG114" s="122">
        <f t="shared" si="123"/>
        <v>0</v>
      </c>
      <c r="AH114" s="124">
        <f t="shared" si="155"/>
        <v>430891.77838569693</v>
      </c>
      <c r="AI114" s="296">
        <f t="shared" si="114"/>
        <v>982355.392032634</v>
      </c>
      <c r="AJ114" s="123">
        <f t="shared" si="67"/>
        <v>0</v>
      </c>
      <c r="AK114" s="124">
        <f t="shared" si="156"/>
        <v>1111829.832702535</v>
      </c>
      <c r="AL114" s="122">
        <f t="shared" si="124"/>
        <v>129474.44066990097</v>
      </c>
      <c r="AM114" s="122">
        <f>IF($C$25="Ausschütter",0,IF(AL114&gt;=0,(AI114+AJ114)*$C$48*0.7))</f>
        <v>481.3541420959906</v>
      </c>
      <c r="AN114" s="122">
        <f t="shared" si="125"/>
        <v>0</v>
      </c>
      <c r="AO114" s="122">
        <f t="shared" si="39"/>
        <v>481.3541420959906</v>
      </c>
      <c r="AP114" s="122">
        <f t="shared" si="69"/>
        <v>11451.064021464694</v>
      </c>
      <c r="AQ114" s="122">
        <f>IF($C$25="AUSSCHÜTTER",0,IF(AO114*$C$46*$C$49&lt;=$C$47,0,AO114*$C$46*$C$49))</f>
        <v>0</v>
      </c>
      <c r="AR114" s="122">
        <f>IF(AO113*$C$49&gt;$C$47,(AN114)*$C$49*$C$46,IF((AO113+AN114)*$C$49&gt;$C$47,((AO113+AN114)*$C$49-$C$47)*$C$46,0))</f>
        <v>0</v>
      </c>
      <c r="AS114" s="122">
        <f t="shared" si="70"/>
        <v>0</v>
      </c>
      <c r="AT114" s="122">
        <f t="shared" si="157"/>
        <v>430891.77838569693</v>
      </c>
      <c r="AU114" s="122">
        <f t="shared" si="115"/>
        <v>0</v>
      </c>
      <c r="AV114" s="122">
        <f t="shared" si="71"/>
        <v>1111829.832702535</v>
      </c>
      <c r="AW114" s="122">
        <f t="shared" si="158"/>
        <v>0</v>
      </c>
      <c r="AX114" s="130">
        <f t="shared" si="159"/>
        <v>0</v>
      </c>
      <c r="AY114" s="82">
        <f>IF(AF114&lt;$C$11,$C$15*(1+$C$19)^(AF114-$C$10),0)</f>
        <v>0</v>
      </c>
      <c r="AZ114" s="82">
        <f>$C$14*(1+$C$37)^(AF114-$C$10)</f>
        <v>41675.798389455929</v>
      </c>
      <c r="BA114" s="165">
        <f>IF(AF114&lt;$C$11,0,MAX($C$38*AI114,AZ114))</f>
        <v>41675.798389455929</v>
      </c>
      <c r="BB114" s="82">
        <f>IF(AF114&lt;$C$11,0,MAX($C$38*AI114,AZ114))</f>
        <v>41675.798389455929</v>
      </c>
      <c r="BC114" s="136">
        <f>IF($C$39="JA",CT114,DG114)</f>
        <v>10991.991825219</v>
      </c>
      <c r="BD114" s="82">
        <f t="shared" si="126"/>
        <v>0</v>
      </c>
      <c r="BE114" s="82">
        <f>IF(AF114&lt;($C$8+$C$30),0,$C$29*12*(1-$C$31))</f>
        <v>0</v>
      </c>
      <c r="BF114" s="82">
        <f>IF(AF114&lt;($C$8+$C$34),0,$C$33*12*(1-$C$35))</f>
        <v>0</v>
      </c>
      <c r="BG114" s="82">
        <f>IF(AF114&lt;$C$11,0,IF(AI114&lt;0,$C$42*(1+$C$44)^(AF114-$C$10),IF(((AL114+BE114+BF114)*$C$41)&lt;$C$42*(1+$C$44)^(AF114-$C$10),$C$42*(1+$C$44)^(AF114-$C$10),IF(((AL114+BE114+BF114)*$C$41)&lt;$C$43*(1+$C$44)^(AF114-$C$10),(AL114+BE114+BF114)*$C$41,IF(((AL114+BE114+BF114+BB114)*$C$41)&lt;$C$43*(1+$C$44)^(AF114-$C$10),((AL114+BE114+BF114+BB114)*$C$41),$C$43*(1+$C$44)^(AF114-$C$10))))))</f>
        <v>17917.160825504248</v>
      </c>
      <c r="BH114" s="82">
        <f t="shared" si="72"/>
        <v>70584.951040179178</v>
      </c>
      <c r="BI114" s="242">
        <f t="shared" si="73"/>
        <v>1111829.832702535</v>
      </c>
      <c r="BJ114" s="217">
        <f t="shared" si="74"/>
        <v>1041244.8816623557</v>
      </c>
      <c r="BK114" s="118"/>
      <c r="BL114" s="219">
        <f t="shared" si="127"/>
        <v>18</v>
      </c>
      <c r="BM114" s="220">
        <f t="shared" si="128"/>
        <v>35</v>
      </c>
      <c r="BN114" s="220">
        <f t="shared" si="121"/>
        <v>0</v>
      </c>
      <c r="BO114" s="221">
        <f t="shared" si="129"/>
        <v>0</v>
      </c>
      <c r="BP114" s="221">
        <f t="shared" si="130"/>
        <v>0</v>
      </c>
      <c r="BQ114" s="222">
        <f t="shared" si="9"/>
        <v>0</v>
      </c>
      <c r="BR114" s="223">
        <f>IF(BM114&lt;$C$11-$C$10+1,0,IF(BL114&lt;=$C$13,VLOOKUP(BL114,$BN$80:$BQ$156,2,FALSE)-BS114,0))</f>
        <v>0</v>
      </c>
      <c r="BS114" s="223">
        <f>IF(BM114&lt;$C$11-$C$10+1,0,IF(BL114&lt;=$C$13,VLOOKUP(BL114,$BN$80:$BQ$156,3,FALSE),0))</f>
        <v>0</v>
      </c>
      <c r="BT114" s="222">
        <f>IF(BM114&lt;$C$11-$C$10+1,0,IF(BL114&lt;=$C$13,VLOOKUP(BL114,$BN$80:$BQ$156,4,FALSE),0))</f>
        <v>0</v>
      </c>
      <c r="BU114" s="223">
        <f t="shared" si="160"/>
        <v>261232.66205749597</v>
      </c>
      <c r="BV114" s="223">
        <f t="shared" si="161"/>
        <v>0</v>
      </c>
      <c r="BW114" s="223">
        <f t="shared" si="118"/>
        <v>261232.66205749597</v>
      </c>
      <c r="BX114" s="223">
        <f>IF(AND(BS114&lt;=0,BN114=0),MIN((MAX($BZ$80:$BZ$156)-SUM($BX$80:BX113)),CA114),IF(BS114&lt;CA114,BS114,CA114))</f>
        <v>0</v>
      </c>
      <c r="BY114" s="222">
        <f>IF(BN114&gt;0,0,IF(AND(BN114=0,BT114&lt;=0),100%,((BW113*(AVERAGE($BT$80:BT113))+(BR114*BT114))/(BR114+BW113+BS114+BV113))))</f>
        <v>1</v>
      </c>
      <c r="BZ114" s="139">
        <f t="shared" si="162"/>
        <v>430891.77838569693</v>
      </c>
      <c r="CA114" s="122">
        <f t="shared" si="131"/>
        <v>41675.798389455929</v>
      </c>
      <c r="CB114" s="181">
        <f t="shared" si="47"/>
        <v>1</v>
      </c>
      <c r="CC114" s="122">
        <f t="shared" si="48"/>
        <v>800950.2833903213</v>
      </c>
      <c r="CD114" s="182">
        <f t="shared" si="119"/>
        <v>0</v>
      </c>
      <c r="CE114" s="122">
        <f t="shared" si="75"/>
        <v>430891.77838569693</v>
      </c>
      <c r="CF114" s="122">
        <f t="shared" si="76"/>
        <v>0</v>
      </c>
      <c r="CG114" s="122" t="str">
        <f t="shared" si="132"/>
        <v/>
      </c>
      <c r="CH114" s="140">
        <f t="shared" si="133"/>
        <v>1</v>
      </c>
      <c r="CI114" s="142">
        <f t="shared" si="77"/>
        <v>9984</v>
      </c>
      <c r="CJ114" s="134">
        <f>CI114*$C$57</f>
        <v>0</v>
      </c>
      <c r="CK114" s="142">
        <f t="shared" si="78"/>
        <v>14926</v>
      </c>
      <c r="CL114" s="134">
        <f>CK114*$C$57</f>
        <v>0</v>
      </c>
      <c r="CM114" s="142">
        <f t="shared" si="79"/>
        <v>58596</v>
      </c>
      <c r="CN114" s="134">
        <f>CM114*$C$57</f>
        <v>0</v>
      </c>
      <c r="CO114" s="132">
        <f t="shared" si="117"/>
        <v>41675.798389455929</v>
      </c>
      <c r="CP114" s="140">
        <f t="shared" si="134"/>
        <v>0.35025792787043891</v>
      </c>
      <c r="CQ114" s="121" t="str">
        <f>IF($C$50="NEIN","NEIN",IF(CS114&lt;CR114,"JA","NEIN"))</f>
        <v>NEIN</v>
      </c>
      <c r="CR114" s="121">
        <f>CO114*$C$46</f>
        <v>10991.991825219</v>
      </c>
      <c r="CS114" s="121">
        <f t="shared" si="135"/>
        <v>8827.2800769079258</v>
      </c>
      <c r="CT114" s="201">
        <f>IF($C$50="NEIN",CR114,IF(CQ114="NEIN",CR114,CS114))</f>
        <v>10991.991825219</v>
      </c>
      <c r="CU114" s="149"/>
      <c r="CV114" s="202">
        <f t="shared" si="80"/>
        <v>9984</v>
      </c>
      <c r="CW114" s="134">
        <f>CV114*$C$57</f>
        <v>0</v>
      </c>
      <c r="CX114" s="142">
        <f t="shared" si="81"/>
        <v>14926</v>
      </c>
      <c r="CY114" s="134">
        <f>CX114*$C$57</f>
        <v>0</v>
      </c>
      <c r="CZ114" s="142">
        <f t="shared" si="82"/>
        <v>58596</v>
      </c>
      <c r="DA114" s="143">
        <f>CZ114*$C$57</f>
        <v>0</v>
      </c>
      <c r="DB114" s="165">
        <f t="shared" si="120"/>
        <v>41675.798389455929</v>
      </c>
      <c r="DC114" s="140">
        <f t="shared" si="136"/>
        <v>0.35025792787043891</v>
      </c>
      <c r="DD114" s="121" t="str">
        <f>IF($C$50="NEIN","NEIN",IF(DF114&lt;DE114,"JA","NEIN"))</f>
        <v>NEIN</v>
      </c>
      <c r="DE114" s="121">
        <f>DB114*$C$46</f>
        <v>10991.991825219</v>
      </c>
      <c r="DF114" s="121">
        <f t="shared" si="137"/>
        <v>8827.2800769079258</v>
      </c>
      <c r="DG114" s="201">
        <f>IF($C$50="NEIN",DE114,IF(DD114="NEIN",DE114,DF114))</f>
        <v>10991.991825219</v>
      </c>
      <c r="DH114" s="159"/>
      <c r="DI114" s="74"/>
      <c r="DJ114" s="74"/>
      <c r="DK114" s="128"/>
      <c r="DL114" s="128"/>
      <c r="DM114" s="128"/>
      <c r="DN114" s="74"/>
      <c r="DO114" s="28">
        <f t="shared" si="83"/>
        <v>2055</v>
      </c>
      <c r="DP114" s="17">
        <f>IF($C$13+$C$10&gt;=DO114,-AG114,IF(DO114=$C$13+$C$10+1,$EK$93,0))</f>
        <v>0</v>
      </c>
      <c r="DQ114" s="17">
        <f t="shared" si="84"/>
        <v>952834.26226903556</v>
      </c>
      <c r="DR114" s="17">
        <f t="shared" si="85"/>
        <v>2347658.2876149872</v>
      </c>
      <c r="DS114" s="17">
        <f t="shared" si="163"/>
        <v>39277.016326817764</v>
      </c>
      <c r="DT114" s="17">
        <f t="shared" si="138"/>
        <v>2554020.7752177315</v>
      </c>
      <c r="DU114" s="17">
        <f t="shared" si="86"/>
        <v>167085.47127592657</v>
      </c>
      <c r="DV114" s="33">
        <f t="shared" si="139"/>
        <v>1169.5982989314844</v>
      </c>
      <c r="DW114" s="32">
        <f t="shared" si="140"/>
        <v>51080.415504354634</v>
      </c>
      <c r="DX114" s="17">
        <f t="shared" si="87"/>
        <v>0</v>
      </c>
      <c r="DY114" s="17">
        <f t="shared" si="88"/>
        <v>0</v>
      </c>
      <c r="DZ114" s="17">
        <f t="shared" si="141"/>
        <v>0</v>
      </c>
      <c r="EA114" s="17">
        <f t="shared" si="164"/>
        <v>9219.4579624914732</v>
      </c>
      <c r="EB114" s="15">
        <f t="shared" si="165"/>
        <v>41860.957541863158</v>
      </c>
      <c r="EC114" s="15">
        <f>IF(DP114=0,EC113,IF(DO114&lt;=$EK$88+$C$10,ABS(DP114)+EC113,EC113))</f>
        <v>430891.77838569693</v>
      </c>
      <c r="ED114" s="15">
        <f t="shared" si="89"/>
        <v>118753.56444535083</v>
      </c>
      <c r="EE114" s="16">
        <f t="shared" si="90"/>
        <v>2554020.7752177315</v>
      </c>
      <c r="EF114" s="15">
        <f t="shared" si="142"/>
        <v>39277.016326817764</v>
      </c>
      <c r="EG114" s="15">
        <f t="shared" si="91"/>
        <v>521942.48388333886</v>
      </c>
      <c r="EH114" s="16"/>
      <c r="EI114" s="16"/>
      <c r="EJ114"/>
      <c r="EK114"/>
      <c r="EL114"/>
      <c r="EM114" s="28">
        <f t="shared" si="92"/>
        <v>2055</v>
      </c>
      <c r="EN114" s="29">
        <f>IF($C$13+$C$10&gt;=EM114,-(AG114),IF(EM114=$C$13+$C$10+1,$FB$93,0))</f>
        <v>0</v>
      </c>
      <c r="EO114" s="30">
        <f t="shared" si="93"/>
        <v>430891.77838569693</v>
      </c>
      <c r="EP114" s="30">
        <f t="shared" si="94"/>
        <v>2615148.9814994433</v>
      </c>
      <c r="EQ114" s="30">
        <f t="shared" si="166"/>
        <v>0</v>
      </c>
      <c r="ER114" s="25">
        <f t="shared" si="143"/>
        <v>2798209.4102044045</v>
      </c>
      <c r="ES114" s="30">
        <f t="shared" si="95"/>
        <v>183060.4287049612</v>
      </c>
      <c r="ET114" s="26">
        <f t="shared" si="144"/>
        <v>1281.423000934727</v>
      </c>
      <c r="EU114" s="30">
        <f t="shared" si="96"/>
        <v>1281.423000934727</v>
      </c>
      <c r="EV114" s="25">
        <f t="shared" si="145"/>
        <v>0</v>
      </c>
      <c r="EW114" s="31">
        <f t="shared" si="97"/>
        <v>16571.223422730935</v>
      </c>
      <c r="EX114" s="27">
        <f>IF(EM114=0,EX113,IF(EM114&lt;=$FB$88+$C$10,ABS(EN114)+EX113,EX113))</f>
        <v>430891.77838569693</v>
      </c>
      <c r="EY114" s="15"/>
      <c r="EZ114"/>
      <c r="FA114"/>
      <c r="FB114"/>
      <c r="FC114" s="74"/>
      <c r="FD114" s="74"/>
      <c r="FE114" s="74"/>
      <c r="FF114" s="74"/>
      <c r="FG114" s="74"/>
      <c r="FH114" s="74"/>
      <c r="FI114" s="74"/>
      <c r="FJ114" s="28">
        <f t="shared" si="98"/>
        <v>2055</v>
      </c>
      <c r="FK114" s="65">
        <f>IF($C$13+$C$10&gt;=FJ114,-AG114,IF(FJ114=$C$13+$C$10+1,$EK$93,0))</f>
        <v>0</v>
      </c>
      <c r="FL114" s="65">
        <f t="shared" si="99"/>
        <v>74118.803999999975</v>
      </c>
      <c r="FM114" s="65">
        <f t="shared" si="100"/>
        <v>354799.72545745503</v>
      </c>
      <c r="FN114" s="65">
        <f t="shared" si="167"/>
        <v>0</v>
      </c>
      <c r="FO114" s="65">
        <f t="shared" si="146"/>
        <v>379635.70623947692</v>
      </c>
      <c r="FP114" s="65">
        <f t="shared" si="101"/>
        <v>24835.980782021885</v>
      </c>
      <c r="FQ114" s="59">
        <f t="shared" si="147"/>
        <v>173.85186547415296</v>
      </c>
      <c r="FR114" s="60">
        <f t="shared" si="148"/>
        <v>7592.7141247895388</v>
      </c>
      <c r="FS114" s="65">
        <f t="shared" si="102"/>
        <v>0</v>
      </c>
      <c r="FT114" s="65">
        <f t="shared" si="103"/>
        <v>0</v>
      </c>
      <c r="FU114" s="65">
        <f t="shared" si="149"/>
        <v>0</v>
      </c>
      <c r="FV114" s="65">
        <f t="shared" si="168"/>
        <v>1190.5410952892685</v>
      </c>
      <c r="FW114" s="61">
        <f t="shared" si="169"/>
        <v>6402.1730295002708</v>
      </c>
      <c r="FX114" s="61">
        <f>IF(AND(FJ114&lt;=$GF$88+$C$10,FV113&lt;=0,FN114&gt;0),(FJ114-$C$10+1)*AG114+$GF$80,FX113)</f>
        <v>73074.599999999977</v>
      </c>
      <c r="FY114" s="62">
        <f t="shared" si="170"/>
        <v>5.6353306958210698</v>
      </c>
      <c r="FZ114" s="63">
        <f t="shared" si="104"/>
        <v>379635.70623947692</v>
      </c>
      <c r="GA114" s="64">
        <f t="shared" si="105"/>
        <v>7240.810723621531</v>
      </c>
      <c r="GB114" s="64">
        <f t="shared" si="106"/>
        <v>123592.01068291217</v>
      </c>
      <c r="GC114" s="66">
        <f t="shared" si="150"/>
        <v>0</v>
      </c>
      <c r="GD114" s="64">
        <f t="shared" si="107"/>
        <v>1580.6039999999994</v>
      </c>
      <c r="GE114"/>
      <c r="GF114"/>
      <c r="GG114" s="74"/>
      <c r="GH114" s="74"/>
      <c r="GI114" s="28">
        <f t="shared" si="108"/>
        <v>2055</v>
      </c>
      <c r="GJ114" s="9">
        <f>IF($GX$88+$C$10&gt;=GI114,-AG114,IF(GI114=$GX$88+$C$10+1,$FB$93,0))</f>
        <v>0</v>
      </c>
      <c r="GK114" s="5">
        <f t="shared" si="109"/>
        <v>462328.13456233818</v>
      </c>
      <c r="GL114" s="5">
        <f t="shared" si="110"/>
        <v>2213579.3092469531</v>
      </c>
      <c r="GM114" s="35">
        <f t="shared" si="171"/>
        <v>5928.0863178989221</v>
      </c>
      <c r="GN114" s="4">
        <f t="shared" si="151"/>
        <v>2374872.9132543914</v>
      </c>
      <c r="GO114" s="5">
        <f t="shared" si="111"/>
        <v>155365.51768953959</v>
      </c>
      <c r="GP114" s="5">
        <f t="shared" si="152"/>
        <v>1087.5586238267772</v>
      </c>
      <c r="GQ114" s="5">
        <f t="shared" si="112"/>
        <v>1087.5586238267772</v>
      </c>
      <c r="GR114" s="4">
        <f t="shared" si="153"/>
        <v>200.79051092401872</v>
      </c>
      <c r="GS114" s="7">
        <f t="shared" si="113"/>
        <v>13387.81345084436</v>
      </c>
      <c r="GT114" s="107" t="e">
        <f>IF($DG$62=0,EX114,IF(GI114-$C$10+1&lt;=$GF$98,0,#REF!-FX114))</f>
        <v>#REF!</v>
      </c>
      <c r="GU114"/>
      <c r="GV114"/>
      <c r="GW114"/>
      <c r="GX114"/>
      <c r="GY114" s="74"/>
      <c r="GZ114" s="74"/>
      <c r="HA114" s="74"/>
      <c r="HB114" s="74"/>
      <c r="HC114" s="74"/>
      <c r="HD114" s="74"/>
    </row>
    <row r="115" spans="2:212" ht="16.149999999999999" thickBot="1" x14ac:dyDescent="0.55000000000000004">
      <c r="B115" s="333"/>
      <c r="C115" s="75"/>
      <c r="D115" s="75"/>
      <c r="F115" s="75"/>
      <c r="G115" s="75"/>
      <c r="H115" s="75"/>
      <c r="I115" s="75"/>
      <c r="J115" s="75"/>
      <c r="K115" s="75"/>
      <c r="L115" s="75"/>
      <c r="M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AB115" s="117" t="str">
        <f t="shared" si="34"/>
        <v/>
      </c>
      <c r="AC115" s="117" t="str">
        <f t="shared" si="35"/>
        <v/>
      </c>
      <c r="AD115" s="299">
        <f>IF($C$20="NEIN",$C$21,IF($C$22="JA",'HISTORISCHE RENDITEN'!E39,'HISTORISCHE RENDITEN'!D39))</f>
        <v>0.24100000000000002</v>
      </c>
      <c r="AE115" s="129">
        <f t="shared" si="122"/>
        <v>63</v>
      </c>
      <c r="AF115" s="120">
        <f t="shared" si="154"/>
        <v>2056</v>
      </c>
      <c r="AG115" s="122">
        <f t="shared" si="123"/>
        <v>0</v>
      </c>
      <c r="AH115" s="124">
        <f t="shared" si="155"/>
        <v>430891.77838569693</v>
      </c>
      <c r="AI115" s="296">
        <f t="shared" si="114"/>
        <v>1041244.8816623557</v>
      </c>
      <c r="AJ115" s="123">
        <f t="shared" si="67"/>
        <v>0</v>
      </c>
      <c r="AK115" s="124">
        <f t="shared" si="156"/>
        <v>1292184.8981429837</v>
      </c>
      <c r="AL115" s="122">
        <f t="shared" si="124"/>
        <v>250940.01648062794</v>
      </c>
      <c r="AM115" s="122">
        <f>IF($C$25="Ausschütter",0,IF(AL115&gt;=0,(AI115+AJ115)*$C$48*0.7))</f>
        <v>510.20999201455425</v>
      </c>
      <c r="AN115" s="122">
        <f t="shared" si="125"/>
        <v>0</v>
      </c>
      <c r="AO115" s="122">
        <f t="shared" si="39"/>
        <v>510.20999201455425</v>
      </c>
      <c r="AP115" s="122">
        <f t="shared" si="69"/>
        <v>11961.274013479248</v>
      </c>
      <c r="AQ115" s="122">
        <f>IF($C$25="AUSSCHÜTTER",0,IF(AO115*$C$46*$C$49&lt;=$C$47,0,AO115*$C$46*$C$49))</f>
        <v>0</v>
      </c>
      <c r="AR115" s="122">
        <f>IF(AO114*$C$49&gt;$C$47,(AN115)*$C$49*$C$46,IF((AO114+AN115)*$C$49&gt;$C$47,((AO114+AN115)*$C$49-$C$47)*$C$46,0))</f>
        <v>0</v>
      </c>
      <c r="AS115" s="122">
        <f t="shared" si="70"/>
        <v>0</v>
      </c>
      <c r="AT115" s="122">
        <f t="shared" si="157"/>
        <v>430891.77838569693</v>
      </c>
      <c r="AU115" s="122">
        <f t="shared" si="115"/>
        <v>0</v>
      </c>
      <c r="AV115" s="122">
        <f t="shared" si="71"/>
        <v>1292184.8981429837</v>
      </c>
      <c r="AW115" s="122">
        <f t="shared" si="158"/>
        <v>0</v>
      </c>
      <c r="AX115" s="130">
        <f t="shared" si="159"/>
        <v>0</v>
      </c>
      <c r="AY115" s="82">
        <f>IF(AF115&lt;$C$11,$C$15*(1+$C$19)^(AF115-$C$10),0)</f>
        <v>0</v>
      </c>
      <c r="AZ115" s="82">
        <f>$C$14*(1+$C$37)^(AF115-$C$10)</f>
        <v>42717.693349192326</v>
      </c>
      <c r="BA115" s="165">
        <f>IF(AF115&lt;$C$11,0,MAX($C$38*AI115,AZ115))</f>
        <v>42717.693349192326</v>
      </c>
      <c r="BB115" s="82">
        <f>IF(AF115&lt;$C$11,0,MAX($C$38*AI115,AZ115))</f>
        <v>42717.693349192326</v>
      </c>
      <c r="BC115" s="136">
        <f>IF($C$39="JA",CT115,DG115)</f>
        <v>11266.791620849475</v>
      </c>
      <c r="BD115" s="82">
        <f t="shared" si="126"/>
        <v>0</v>
      </c>
      <c r="BE115" s="82">
        <f>IF(AF115&lt;($C$8+$C$30),0,$C$29*12*(1-$C$31))</f>
        <v>0</v>
      </c>
      <c r="BF115" s="82">
        <f>IF(AF115&lt;($C$8+$C$34),0,$C$33*12*(1-$C$35))</f>
        <v>0</v>
      </c>
      <c r="BG115" s="82">
        <f>IF(AF115&lt;$C$11,0,IF(AI115&lt;0,$C$42*(1+$C$44)^(AF115-$C$10),IF(((AL115+BE115+BF115)*$C$41)&lt;$C$42*(1+$C$44)^(AF115-$C$10),$C$42*(1+$C$44)^(AF115-$C$10),IF(((AL115+BE115+BF115)*$C$41)&lt;$C$43*(1+$C$44)^(AF115-$C$10),(AL115+BE115+BF115)*$C$41,IF(((AL115+BE115+BF115+BB115)*$C$41)&lt;$C$43*(1+$C$44)^(AF115-$C$10),((AL115+BE115+BF115+BB115)*$C$41),$C$43*(1+$C$44)^(AF115-$C$10))))))</f>
        <v>18185.91823788681</v>
      </c>
      <c r="BH115" s="82">
        <f t="shared" si="72"/>
        <v>72170.403207928612</v>
      </c>
      <c r="BI115" s="242">
        <f t="shared" si="73"/>
        <v>1292184.8981429837</v>
      </c>
      <c r="BJ115" s="217">
        <f t="shared" si="74"/>
        <v>1220014.494935055</v>
      </c>
      <c r="BK115" s="118"/>
      <c r="BL115" s="219">
        <f t="shared" si="127"/>
        <v>19</v>
      </c>
      <c r="BM115" s="220">
        <f t="shared" si="128"/>
        <v>36</v>
      </c>
      <c r="BN115" s="220">
        <f t="shared" si="121"/>
        <v>0</v>
      </c>
      <c r="BO115" s="221">
        <f t="shared" si="129"/>
        <v>0</v>
      </c>
      <c r="BP115" s="221">
        <f t="shared" si="130"/>
        <v>0</v>
      </c>
      <c r="BQ115" s="222">
        <f t="shared" si="9"/>
        <v>0</v>
      </c>
      <c r="BR115" s="223">
        <f>IF(BM115&lt;$C$11-$C$10+1,0,IF(BL115&lt;=$C$13,VLOOKUP(BL115,$BN$80:$BQ$156,2,FALSE)-BS115,0))</f>
        <v>0</v>
      </c>
      <c r="BS115" s="223">
        <f>IF(BM115&lt;$C$11-$C$10+1,0,IF(BL115&lt;=$C$13,VLOOKUP(BL115,$BN$80:$BQ$156,3,FALSE),0))</f>
        <v>0</v>
      </c>
      <c r="BT115" s="222">
        <f>IF(BM115&lt;$C$11-$C$10+1,0,IF(BL115&lt;=$C$13,VLOOKUP(BL115,$BN$80:$BQ$156,4,FALSE),0))</f>
        <v>0</v>
      </c>
      <c r="BU115" s="223">
        <f t="shared" si="160"/>
        <v>218514.96870830364</v>
      </c>
      <c r="BV115" s="223">
        <f t="shared" si="161"/>
        <v>0</v>
      </c>
      <c r="BW115" s="223">
        <f t="shared" si="118"/>
        <v>218514.96870830364</v>
      </c>
      <c r="BX115" s="223">
        <f>IF(AND(BS115&lt;=0,BN115=0),MIN((MAX($BZ$80:$BZ$156)-SUM($BX$80:BX114)),CA115),IF(BS115&lt;CA115,BS115,CA115))</f>
        <v>0</v>
      </c>
      <c r="BY115" s="222">
        <f>IF(BN115&gt;0,0,IF(AND(BN115=0,BT115&lt;=0),100%,((BW114*(AVERAGE($BT$80:BT114))+(BR115*BT115))/(BR115+BW114+BS115+BV114))))</f>
        <v>1</v>
      </c>
      <c r="BZ115" s="139">
        <f t="shared" si="162"/>
        <v>430891.77838569693</v>
      </c>
      <c r="CA115" s="122">
        <f t="shared" si="131"/>
        <v>42717.693349192326</v>
      </c>
      <c r="CB115" s="181">
        <f t="shared" si="47"/>
        <v>1</v>
      </c>
      <c r="CC115" s="122">
        <f t="shared" si="48"/>
        <v>843667.97673951369</v>
      </c>
      <c r="CD115" s="182">
        <f t="shared" si="119"/>
        <v>0</v>
      </c>
      <c r="CE115" s="122">
        <f t="shared" si="75"/>
        <v>430891.77838569693</v>
      </c>
      <c r="CF115" s="122">
        <f t="shared" si="76"/>
        <v>0</v>
      </c>
      <c r="CG115" s="122" t="str">
        <f t="shared" si="132"/>
        <v/>
      </c>
      <c r="CH115" s="140">
        <f t="shared" si="133"/>
        <v>1</v>
      </c>
      <c r="CI115" s="142">
        <f t="shared" si="77"/>
        <v>9984</v>
      </c>
      <c r="CJ115" s="134">
        <f>CI115*$C$57</f>
        <v>0</v>
      </c>
      <c r="CK115" s="142">
        <f t="shared" si="78"/>
        <v>14926</v>
      </c>
      <c r="CL115" s="134">
        <f>CK115*$C$57</f>
        <v>0</v>
      </c>
      <c r="CM115" s="142">
        <f t="shared" si="79"/>
        <v>58596</v>
      </c>
      <c r="CN115" s="134">
        <f>CM115*$C$57</f>
        <v>0</v>
      </c>
      <c r="CO115" s="132">
        <f t="shared" si="117"/>
        <v>42717.693349192326</v>
      </c>
      <c r="CP115" s="140">
        <f t="shared" si="134"/>
        <v>0.35455243423069882</v>
      </c>
      <c r="CQ115" s="121" t="str">
        <f>IF($C$50="NEIN","NEIN",IF(CS115&lt;CR115,"JA","NEIN"))</f>
        <v>NEIN</v>
      </c>
      <c r="CR115" s="121">
        <f>CO115*$C$46</f>
        <v>11266.791620849475</v>
      </c>
      <c r="CS115" s="121">
        <f t="shared" si="135"/>
        <v>9194.3292537280431</v>
      </c>
      <c r="CT115" s="201">
        <f>IF($C$50="NEIN",CR115,IF(CQ115="NEIN",CR115,CS115))</f>
        <v>11266.791620849475</v>
      </c>
      <c r="CU115" s="149"/>
      <c r="CV115" s="202">
        <f t="shared" si="80"/>
        <v>9984</v>
      </c>
      <c r="CW115" s="134">
        <f>CV115*$C$57</f>
        <v>0</v>
      </c>
      <c r="CX115" s="142">
        <f t="shared" si="81"/>
        <v>14926</v>
      </c>
      <c r="CY115" s="134">
        <f>CX115*$C$57</f>
        <v>0</v>
      </c>
      <c r="CZ115" s="142">
        <f t="shared" si="82"/>
        <v>58596</v>
      </c>
      <c r="DA115" s="143">
        <f>CZ115*$C$57</f>
        <v>0</v>
      </c>
      <c r="DB115" s="165">
        <f t="shared" si="120"/>
        <v>42717.693349192326</v>
      </c>
      <c r="DC115" s="140">
        <f t="shared" si="136"/>
        <v>0.35455243423069882</v>
      </c>
      <c r="DD115" s="121" t="str">
        <f>IF($C$50="NEIN","NEIN",IF(DF115&lt;DE115,"JA","NEIN"))</f>
        <v>NEIN</v>
      </c>
      <c r="DE115" s="121">
        <f>DB115*$C$46</f>
        <v>11266.791620849475</v>
      </c>
      <c r="DF115" s="121">
        <f t="shared" si="137"/>
        <v>9194.3292537280431</v>
      </c>
      <c r="DG115" s="201">
        <f>IF($C$50="NEIN",DE115,IF(DD115="NEIN",DE115,DF115))</f>
        <v>11266.791620849475</v>
      </c>
      <c r="DH115" s="159"/>
      <c r="DI115" s="74"/>
      <c r="DJ115" s="74"/>
      <c r="DK115" s="128"/>
      <c r="DL115" s="128"/>
      <c r="DM115" s="128"/>
      <c r="DN115" s="74"/>
      <c r="DO115" s="28">
        <f t="shared" si="83"/>
        <v>2056</v>
      </c>
      <c r="DP115" s="17">
        <f>IF($C$13+$C$10&gt;=DO115,-AG115,IF(DO115=$C$13+$C$10+1,$EK$93,0))</f>
        <v>0</v>
      </c>
      <c r="DQ115" s="17">
        <f t="shared" si="84"/>
        <v>994695.21981089876</v>
      </c>
      <c r="DR115" s="17">
        <f t="shared" si="85"/>
        <v>2502940.359713377</v>
      </c>
      <c r="DS115" s="17">
        <f t="shared" si="163"/>
        <v>41860.957541863158</v>
      </c>
      <c r="DT115" s="17">
        <f t="shared" si="138"/>
        <v>2722937.4094631067</v>
      </c>
      <c r="DU115" s="17">
        <f t="shared" si="86"/>
        <v>178136.09220786672</v>
      </c>
      <c r="DV115" s="33">
        <f t="shared" si="139"/>
        <v>1246.9526454550676</v>
      </c>
      <c r="DW115" s="32">
        <f t="shared" si="140"/>
        <v>54458.748189262136</v>
      </c>
      <c r="DX115" s="17">
        <f t="shared" si="87"/>
        <v>0</v>
      </c>
      <c r="DY115" s="17">
        <f t="shared" si="88"/>
        <v>0</v>
      </c>
      <c r="DZ115" s="17">
        <f t="shared" si="141"/>
        <v>0</v>
      </c>
      <c r="EA115" s="17">
        <f t="shared" si="164"/>
        <v>9843.1826344425208</v>
      </c>
      <c r="EB115" s="15">
        <f t="shared" si="165"/>
        <v>44615.565554819615</v>
      </c>
      <c r="EC115" s="15">
        <f>IF(DP115=0,EC114,IF(DO115&lt;=$EK$88+$C$10,ABS(DP115)+EC114,EC114))</f>
        <v>430891.77838569693</v>
      </c>
      <c r="ED115" s="15">
        <f t="shared" si="89"/>
        <v>128596.74707979335</v>
      </c>
      <c r="EE115" s="16">
        <f t="shared" si="90"/>
        <v>2722937.4094631067</v>
      </c>
      <c r="EF115" s="15">
        <f t="shared" si="142"/>
        <v>41860.957541863158</v>
      </c>
      <c r="EG115" s="15">
        <f t="shared" si="91"/>
        <v>563803.44142520207</v>
      </c>
      <c r="EH115" s="16"/>
      <c r="EI115" s="16"/>
      <c r="EJ115"/>
      <c r="EK115"/>
      <c r="EL115"/>
      <c r="EM115" s="28">
        <f t="shared" si="92"/>
        <v>2056</v>
      </c>
      <c r="EN115" s="29">
        <f>IF($C$13+$C$10&gt;=EM115,-(AG115),IF(EM115=$C$13+$C$10+1,$FB$93,0))</f>
        <v>0</v>
      </c>
      <c r="EO115" s="30">
        <f t="shared" si="93"/>
        <v>430891.77838569693</v>
      </c>
      <c r="EP115" s="30">
        <f t="shared" si="94"/>
        <v>2798209.4102044045</v>
      </c>
      <c r="EQ115" s="30">
        <f t="shared" si="166"/>
        <v>0</v>
      </c>
      <c r="ER115" s="25">
        <f t="shared" si="143"/>
        <v>2994084.0689187129</v>
      </c>
      <c r="ES115" s="30">
        <f t="shared" si="95"/>
        <v>195874.6587143084</v>
      </c>
      <c r="ET115" s="26">
        <f t="shared" si="144"/>
        <v>1371.122611000158</v>
      </c>
      <c r="EU115" s="30">
        <f t="shared" si="96"/>
        <v>1371.122611000158</v>
      </c>
      <c r="EV115" s="25">
        <f t="shared" si="145"/>
        <v>0</v>
      </c>
      <c r="EW115" s="31">
        <f t="shared" si="97"/>
        <v>17942.346033731093</v>
      </c>
      <c r="EX115" s="27">
        <f>IF(EM115=0,EX114,IF(EM115&lt;=$FB$88+$C$10,ABS(EN115)+EX114,EX114))</f>
        <v>430891.77838569693</v>
      </c>
      <c r="EY115" s="15"/>
      <c r="EZ115"/>
      <c r="FA115"/>
      <c r="FB115"/>
      <c r="FC115" s="74"/>
      <c r="FD115" s="74"/>
      <c r="FE115" s="74"/>
      <c r="FF115" s="74"/>
      <c r="FG115" s="74"/>
      <c r="FH115" s="74"/>
      <c r="FI115" s="74"/>
      <c r="FJ115" s="28">
        <f t="shared" si="98"/>
        <v>2056</v>
      </c>
      <c r="FK115" s="65">
        <f>IF($C$13+$C$10&gt;=FJ115,-AG115,IF(FJ115=$C$13+$C$10+1,$EK$93,0))</f>
        <v>0</v>
      </c>
      <c r="FL115" s="65">
        <f t="shared" si="99"/>
        <v>74118.803999999975</v>
      </c>
      <c r="FM115" s="65">
        <f t="shared" si="100"/>
        <v>372042.9921146874</v>
      </c>
      <c r="FN115" s="65">
        <f t="shared" si="167"/>
        <v>0</v>
      </c>
      <c r="FO115" s="65">
        <f t="shared" si="146"/>
        <v>398086.00156271557</v>
      </c>
      <c r="FP115" s="65">
        <f t="shared" si="101"/>
        <v>26043.00944802817</v>
      </c>
      <c r="FQ115" s="59">
        <f t="shared" si="147"/>
        <v>182.30106613619682</v>
      </c>
      <c r="FR115" s="60">
        <f t="shared" si="148"/>
        <v>7961.7200312543118</v>
      </c>
      <c r="FS115" s="65">
        <f t="shared" si="102"/>
        <v>0</v>
      </c>
      <c r="FT115" s="65">
        <f t="shared" si="103"/>
        <v>0</v>
      </c>
      <c r="FU115" s="65">
        <f t="shared" si="149"/>
        <v>0</v>
      </c>
      <c r="FV115" s="65">
        <f t="shared" si="168"/>
        <v>1258.6688107703271</v>
      </c>
      <c r="FW115" s="61">
        <f t="shared" si="169"/>
        <v>6703.0512204839852</v>
      </c>
      <c r="FX115" s="61">
        <f>IF(AND(FJ115&lt;=$GF$88+$C$10,FV114&lt;=0,FN115&gt;0),(FJ115-$C$10+1)*AG115+$GF$80,FX114)</f>
        <v>73074.599999999977</v>
      </c>
      <c r="FY115" s="62">
        <f t="shared" si="170"/>
        <v>5.9578077676379744</v>
      </c>
      <c r="FZ115" s="63">
        <f t="shared" si="104"/>
        <v>398086.00156271557</v>
      </c>
      <c r="GA115" s="64">
        <f t="shared" si="105"/>
        <v>7592.7141247895388</v>
      </c>
      <c r="GB115" s="64">
        <f t="shared" si="106"/>
        <v>131184.72480770171</v>
      </c>
      <c r="GC115" s="66">
        <f t="shared" si="150"/>
        <v>0</v>
      </c>
      <c r="GD115" s="64">
        <f t="shared" si="107"/>
        <v>1580.6039999999994</v>
      </c>
      <c r="GE115"/>
      <c r="GF115"/>
      <c r="GG115" s="74"/>
      <c r="GH115" s="74"/>
      <c r="GI115" s="28">
        <f t="shared" si="108"/>
        <v>2056</v>
      </c>
      <c r="GJ115" s="9">
        <f>IF($GX$88+$C$10&gt;=GI115,-AG115,IF(GI115=$GX$88+$C$10+1,$FB$93,0))</f>
        <v>0</v>
      </c>
      <c r="GK115" s="5">
        <f t="shared" si="109"/>
        <v>468529.5170809144</v>
      </c>
      <c r="GL115" s="5">
        <f t="shared" si="110"/>
        <v>2374872.9132543914</v>
      </c>
      <c r="GM115" s="35">
        <f t="shared" si="171"/>
        <v>6201.3825185762516</v>
      </c>
      <c r="GN115" s="4">
        <f t="shared" si="151"/>
        <v>2547749.4964770759</v>
      </c>
      <c r="GO115" s="5">
        <f t="shared" si="111"/>
        <v>166675.20070410799</v>
      </c>
      <c r="GP115" s="5">
        <f t="shared" si="152"/>
        <v>1166.7264049287542</v>
      </c>
      <c r="GQ115" s="5">
        <f t="shared" si="112"/>
        <v>1166.7264049287542</v>
      </c>
      <c r="GR115" s="4">
        <f t="shared" si="153"/>
        <v>215.40686250997123</v>
      </c>
      <c r="GS115" s="7">
        <f t="shared" si="113"/>
        <v>14554.539855773113</v>
      </c>
      <c r="GT115" s="107" t="e">
        <f>IF($DG$62=0,EX115,IF(GI115-$C$10+1&lt;=$GF$98,0,#REF!-FX115))</f>
        <v>#REF!</v>
      </c>
      <c r="GU115"/>
      <c r="GV115"/>
      <c r="GW115"/>
      <c r="GX115"/>
      <c r="GY115" s="74"/>
      <c r="GZ115" s="74"/>
      <c r="HA115" s="74"/>
      <c r="HB115" s="74"/>
      <c r="HC115" s="74"/>
      <c r="HD115" s="74"/>
    </row>
    <row r="116" spans="2:212" ht="16.149999999999999" thickBot="1" x14ac:dyDescent="0.55000000000000004">
      <c r="B116" s="333"/>
      <c r="C116" s="75"/>
      <c r="D116" s="75"/>
      <c r="F116" s="75"/>
      <c r="G116" s="75"/>
      <c r="H116" s="75"/>
      <c r="I116" s="75"/>
      <c r="J116" s="75"/>
      <c r="K116" s="75"/>
      <c r="L116" s="75"/>
      <c r="M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AB116" s="117" t="str">
        <f t="shared" si="34"/>
        <v/>
      </c>
      <c r="AC116" s="117" t="str">
        <f t="shared" si="35"/>
        <v/>
      </c>
      <c r="AD116" s="299">
        <f>IF($C$20="NEIN",$C$21,IF($C$22="JA",'HISTORISCHE RENDITEN'!E40,'HISTORISCHE RENDITEN'!D40))</f>
        <v>2.9300000000000003E-2</v>
      </c>
      <c r="AE116" s="129">
        <f t="shared" si="122"/>
        <v>64</v>
      </c>
      <c r="AF116" s="120">
        <f t="shared" si="154"/>
        <v>2057</v>
      </c>
      <c r="AG116" s="122">
        <f t="shared" si="123"/>
        <v>0</v>
      </c>
      <c r="AH116" s="124">
        <f t="shared" si="155"/>
        <v>430891.77838569693</v>
      </c>
      <c r="AI116" s="296">
        <f t="shared" si="114"/>
        <v>1220014.494935055</v>
      </c>
      <c r="AJ116" s="123">
        <f t="shared" si="67"/>
        <v>0</v>
      </c>
      <c r="AK116" s="124">
        <f t="shared" si="156"/>
        <v>1255760.9196366523</v>
      </c>
      <c r="AL116" s="122">
        <f t="shared" si="124"/>
        <v>35746.424701597309</v>
      </c>
      <c r="AM116" s="122">
        <f>IF($C$25="Ausschütter",0,IF(AL116&gt;=0,(AI116+AJ116)*$C$48*0.7))</f>
        <v>597.80710251817686</v>
      </c>
      <c r="AN116" s="122">
        <f t="shared" si="125"/>
        <v>0</v>
      </c>
      <c r="AO116" s="122">
        <f t="shared" si="39"/>
        <v>597.80710251817686</v>
      </c>
      <c r="AP116" s="122">
        <f t="shared" si="69"/>
        <v>12559.081115997424</v>
      </c>
      <c r="AQ116" s="122">
        <f>IF($C$25="AUSSCHÜTTER",0,IF(AO116*$C$46*$C$49&lt;=$C$47,0,AO116*$C$46*$C$49))</f>
        <v>0</v>
      </c>
      <c r="AR116" s="122">
        <f>IF(AO115*$C$49&gt;$C$47,(AN116)*$C$49*$C$46,IF((AO115+AN116)*$C$49&gt;$C$47,((AO115+AN116)*$C$49-$C$47)*$C$46,0))</f>
        <v>0</v>
      </c>
      <c r="AS116" s="122">
        <f t="shared" si="70"/>
        <v>0</v>
      </c>
      <c r="AT116" s="122">
        <f t="shared" si="157"/>
        <v>430891.77838569693</v>
      </c>
      <c r="AU116" s="122">
        <f t="shared" si="115"/>
        <v>0</v>
      </c>
      <c r="AV116" s="122">
        <f t="shared" si="71"/>
        <v>1255760.9196366523</v>
      </c>
      <c r="AW116" s="122">
        <f t="shared" si="158"/>
        <v>0</v>
      </c>
      <c r="AX116" s="130">
        <f t="shared" si="159"/>
        <v>0</v>
      </c>
      <c r="AY116" s="82">
        <f>IF(AF116&lt;$C$11,$C$15*(1+$C$19)^(AF116-$C$10),0)</f>
        <v>0</v>
      </c>
      <c r="AZ116" s="82">
        <f>$C$14*(1+$C$37)^(AF116-$C$10)</f>
        <v>43785.635682922133</v>
      </c>
      <c r="BA116" s="165">
        <f>IF(AF116&lt;$C$11,0,MAX($C$38*AI116,AZ116))</f>
        <v>43785.635682922133</v>
      </c>
      <c r="BB116" s="82">
        <f>IF(AF116&lt;$C$11,0,MAX($C$38*AI116,AZ116))</f>
        <v>43785.635682922133</v>
      </c>
      <c r="BC116" s="136">
        <f>IF($C$39="JA",CT116,DG116)</f>
        <v>11548.461411370712</v>
      </c>
      <c r="BD116" s="82">
        <f t="shared" si="126"/>
        <v>0</v>
      </c>
      <c r="BE116" s="82">
        <f>IF(AF116&lt;($C$8+$C$30),0,$C$29*12*(1-$C$31))</f>
        <v>0</v>
      </c>
      <c r="BF116" s="82">
        <f>IF(AF116&lt;($C$8+$C$34),0,$C$33*12*(1-$C$35))</f>
        <v>0</v>
      </c>
      <c r="BG116" s="82">
        <f>IF(AF116&lt;$C$11,0,IF(AI116&lt;0,$C$42*(1+$C$44)^(AF116-$C$10),IF(((AL116+BE116+BF116)*$C$41)&lt;$C$42*(1+$C$44)^(AF116-$C$10),$C$42*(1+$C$44)^(AF116-$C$10),IF(((AL116+BE116+BF116)*$C$41)&lt;$C$43*(1+$C$44)^(AF116-$C$10),(AL116+BE116+BF116)*$C$41,IF(((AL116+BE116+BF116+BB116)*$C$41)&lt;$C$43*(1+$C$44)^(AF116-$C$10),((AL116+BE116+BF116+BB116)*$C$41),$C$43*(1+$C$44)^(AF116-$C$10))))))</f>
        <v>6791.820693303489</v>
      </c>
      <c r="BH116" s="82">
        <f t="shared" si="72"/>
        <v>62125.917787596336</v>
      </c>
      <c r="BI116" s="242">
        <f t="shared" si="73"/>
        <v>1255760.9196366523</v>
      </c>
      <c r="BJ116" s="217">
        <f t="shared" si="74"/>
        <v>1193635.001849056</v>
      </c>
      <c r="BK116" s="118"/>
      <c r="BL116" s="219">
        <f t="shared" si="127"/>
        <v>20</v>
      </c>
      <c r="BM116" s="220">
        <f t="shared" si="128"/>
        <v>37</v>
      </c>
      <c r="BN116" s="220">
        <f t="shared" si="121"/>
        <v>0</v>
      </c>
      <c r="BO116" s="221">
        <f t="shared" si="129"/>
        <v>0</v>
      </c>
      <c r="BP116" s="221">
        <f t="shared" si="130"/>
        <v>0</v>
      </c>
      <c r="BQ116" s="222">
        <f t="shared" si="9"/>
        <v>0</v>
      </c>
      <c r="BR116" s="223">
        <f>IF(BM116&lt;$C$11-$C$10+1,0,IF(BL116&lt;=$C$13,VLOOKUP(BL116,$BN$80:$BQ$156,2,FALSE)-BS116,0))</f>
        <v>0</v>
      </c>
      <c r="BS116" s="223">
        <f>IF(BM116&lt;$C$11-$C$10+1,0,IF(BL116&lt;=$C$13,VLOOKUP(BL116,$BN$80:$BQ$156,3,FALSE),0))</f>
        <v>0</v>
      </c>
      <c r="BT116" s="222">
        <f>IF(BM116&lt;$C$11-$C$10+1,0,IF(BL116&lt;=$C$13,VLOOKUP(BL116,$BN$80:$BQ$156,4,FALSE),0))</f>
        <v>0</v>
      </c>
      <c r="BU116" s="223">
        <f t="shared" si="160"/>
        <v>174729.33302538149</v>
      </c>
      <c r="BV116" s="223">
        <f t="shared" si="161"/>
        <v>0</v>
      </c>
      <c r="BW116" s="223">
        <f t="shared" si="118"/>
        <v>174729.33302538149</v>
      </c>
      <c r="BX116" s="223">
        <f>IF(AND(BS116&lt;=0,BN116=0),MIN((MAX($BZ$80:$BZ$156)-SUM($BX$80:BX115)),CA116),IF(BS116&lt;CA116,BS116,CA116))</f>
        <v>0</v>
      </c>
      <c r="BY116" s="222">
        <f>IF(BN116&gt;0,0,IF(AND(BN116=0,BT116&lt;=0),100%,((BW115*(AVERAGE($BT$80:BT115))+(BR116*BT116))/(BR116+BW115+BS116+BV115))))</f>
        <v>1</v>
      </c>
      <c r="BZ116" s="139">
        <f t="shared" si="162"/>
        <v>430891.77838569693</v>
      </c>
      <c r="CA116" s="122">
        <f t="shared" si="131"/>
        <v>43785.635682922133</v>
      </c>
      <c r="CB116" s="181">
        <f t="shared" si="47"/>
        <v>1</v>
      </c>
      <c r="CC116" s="122">
        <f t="shared" si="48"/>
        <v>887453.61242243578</v>
      </c>
      <c r="CD116" s="182">
        <f t="shared" si="119"/>
        <v>0</v>
      </c>
      <c r="CE116" s="122">
        <f t="shared" si="75"/>
        <v>430891.77838569693</v>
      </c>
      <c r="CF116" s="122">
        <f t="shared" si="76"/>
        <v>0</v>
      </c>
      <c r="CG116" s="122" t="str">
        <f t="shared" si="132"/>
        <v/>
      </c>
      <c r="CH116" s="140">
        <f t="shared" si="133"/>
        <v>1</v>
      </c>
      <c r="CI116" s="142">
        <f t="shared" si="77"/>
        <v>9984</v>
      </c>
      <c r="CJ116" s="134">
        <f>CI116*$C$57</f>
        <v>0</v>
      </c>
      <c r="CK116" s="142">
        <f t="shared" si="78"/>
        <v>14926</v>
      </c>
      <c r="CL116" s="134">
        <f>CK116*$C$57</f>
        <v>0</v>
      </c>
      <c r="CM116" s="142">
        <f t="shared" si="79"/>
        <v>58596</v>
      </c>
      <c r="CN116" s="134">
        <f>CM116*$C$57</f>
        <v>0</v>
      </c>
      <c r="CO116" s="132">
        <f t="shared" si="117"/>
        <v>43785.635682922133</v>
      </c>
      <c r="CP116" s="140">
        <f t="shared" si="134"/>
        <v>0.35895430324996525</v>
      </c>
      <c r="CQ116" s="121" t="str">
        <f>IF($C$50="NEIN","NEIN",IF(CS116&lt;CR116,"JA","NEIN"))</f>
        <v>NEIN</v>
      </c>
      <c r="CR116" s="121">
        <f>CO116*$C$46</f>
        <v>11548.461411370712</v>
      </c>
      <c r="CS116" s="121">
        <f t="shared" si="135"/>
        <v>9575.2059088620081</v>
      </c>
      <c r="CT116" s="201">
        <f>IF($C$50="NEIN",CR116,IF(CQ116="NEIN",CR116,CS116))</f>
        <v>11548.461411370712</v>
      </c>
      <c r="CU116" s="149"/>
      <c r="CV116" s="202">
        <f t="shared" si="80"/>
        <v>9984</v>
      </c>
      <c r="CW116" s="134">
        <f>CV116*$C$57</f>
        <v>0</v>
      </c>
      <c r="CX116" s="142">
        <f t="shared" si="81"/>
        <v>14926</v>
      </c>
      <c r="CY116" s="134">
        <f>CX116*$C$57</f>
        <v>0</v>
      </c>
      <c r="CZ116" s="142">
        <f t="shared" si="82"/>
        <v>58596</v>
      </c>
      <c r="DA116" s="143">
        <f>CZ116*$C$57</f>
        <v>0</v>
      </c>
      <c r="DB116" s="165">
        <f t="shared" si="120"/>
        <v>43785.635682922133</v>
      </c>
      <c r="DC116" s="140">
        <f t="shared" si="136"/>
        <v>0.35895430324996525</v>
      </c>
      <c r="DD116" s="121" t="str">
        <f>IF($C$50="NEIN","NEIN",IF(DF116&lt;DE116,"JA","NEIN"))</f>
        <v>NEIN</v>
      </c>
      <c r="DE116" s="121">
        <f>DB116*$C$46</f>
        <v>11548.461411370712</v>
      </c>
      <c r="DF116" s="121">
        <f t="shared" si="137"/>
        <v>9575.2059088620081</v>
      </c>
      <c r="DG116" s="201">
        <f>IF($C$50="NEIN",DE116,IF(DD116="NEIN",DE116,DF116))</f>
        <v>11548.461411370712</v>
      </c>
      <c r="DH116" s="159"/>
      <c r="DI116" s="74"/>
      <c r="DJ116" s="74"/>
      <c r="DK116" s="128"/>
      <c r="DL116" s="128"/>
      <c r="DM116" s="128"/>
      <c r="DN116" s="74"/>
      <c r="DO116" s="28">
        <f t="shared" si="83"/>
        <v>2057</v>
      </c>
      <c r="DP116" s="17">
        <f>IF($C$13+$C$10&gt;=DO116,-AG116,IF(DO116=$C$13+$C$10+1,$EK$93,0))</f>
        <v>0</v>
      </c>
      <c r="DQ116" s="17">
        <f t="shared" si="84"/>
        <v>1039310.7853657184</v>
      </c>
      <c r="DR116" s="17">
        <f t="shared" si="85"/>
        <v>2668478.6612738445</v>
      </c>
      <c r="DS116" s="17">
        <f t="shared" si="163"/>
        <v>44615.565554819615</v>
      </c>
      <c r="DT116" s="17">
        <f t="shared" si="138"/>
        <v>2903010.8227066705</v>
      </c>
      <c r="DU116" s="17">
        <f t="shared" si="86"/>
        <v>189916.59587800642</v>
      </c>
      <c r="DV116" s="33">
        <f t="shared" si="139"/>
        <v>1329.4161711460454</v>
      </c>
      <c r="DW116" s="32">
        <f t="shared" si="140"/>
        <v>58060.216454133413</v>
      </c>
      <c r="DX116" s="17">
        <f t="shared" si="87"/>
        <v>0</v>
      </c>
      <c r="DY116" s="17">
        <f t="shared" si="88"/>
        <v>0</v>
      </c>
      <c r="DZ116" s="17">
        <f t="shared" si="141"/>
        <v>0</v>
      </c>
      <c r="EA116" s="17">
        <f t="shared" si="164"/>
        <v>10508.103712844379</v>
      </c>
      <c r="EB116" s="15">
        <f t="shared" si="165"/>
        <v>47552.112741289035</v>
      </c>
      <c r="EC116" s="15">
        <f>IF(DP116=0,EC115,IF(DO116&lt;=$EK$88+$C$10,ABS(DP116)+EC115,EC115))</f>
        <v>430891.77838569693</v>
      </c>
      <c r="ED116" s="15">
        <f t="shared" si="89"/>
        <v>139104.85079263774</v>
      </c>
      <c r="EE116" s="16">
        <f t="shared" si="90"/>
        <v>2903010.8227066705</v>
      </c>
      <c r="EF116" s="15">
        <f t="shared" si="142"/>
        <v>44615.565554819615</v>
      </c>
      <c r="EG116" s="15">
        <f t="shared" si="91"/>
        <v>608419.00698002172</v>
      </c>
      <c r="EH116" s="16"/>
      <c r="EI116" s="16"/>
      <c r="EJ116"/>
      <c r="EK116"/>
      <c r="EL116"/>
      <c r="EM116" s="28">
        <f t="shared" si="92"/>
        <v>2057</v>
      </c>
      <c r="EN116" s="29">
        <f>IF($C$13+$C$10&gt;=EM116,-(AG116),IF(EM116=$C$13+$C$10+1,$FB$93,0))</f>
        <v>0</v>
      </c>
      <c r="EO116" s="30">
        <f t="shared" si="93"/>
        <v>430891.77838569693</v>
      </c>
      <c r="EP116" s="30">
        <f t="shared" si="94"/>
        <v>2994084.0689187129</v>
      </c>
      <c r="EQ116" s="30">
        <f t="shared" si="166"/>
        <v>0</v>
      </c>
      <c r="ER116" s="25">
        <f t="shared" si="143"/>
        <v>3203669.9537430229</v>
      </c>
      <c r="ES116" s="30">
        <f t="shared" si="95"/>
        <v>209585.88482430996</v>
      </c>
      <c r="ET116" s="26">
        <f t="shared" si="144"/>
        <v>1467.1011937701694</v>
      </c>
      <c r="EU116" s="30">
        <f t="shared" si="96"/>
        <v>1467.1011937701694</v>
      </c>
      <c r="EV116" s="25">
        <f t="shared" si="145"/>
        <v>0</v>
      </c>
      <c r="EW116" s="31">
        <f t="shared" si="97"/>
        <v>19409.447227501263</v>
      </c>
      <c r="EX116" s="27">
        <f>IF(EM116=0,EX115,IF(EM116&lt;=$FB$88+$C$10,ABS(EN116)+EX115,EX115))</f>
        <v>430891.77838569693</v>
      </c>
      <c r="EY116" s="15"/>
      <c r="EZ116"/>
      <c r="FA116"/>
      <c r="FB116"/>
      <c r="FC116" s="74"/>
      <c r="FD116" s="74"/>
      <c r="FE116" s="74"/>
      <c r="FF116" s="74"/>
      <c r="FG116" s="74"/>
      <c r="FH116" s="74"/>
      <c r="FI116" s="74"/>
      <c r="FJ116" s="28">
        <f t="shared" si="98"/>
        <v>2057</v>
      </c>
      <c r="FK116" s="65">
        <f>IF($C$13+$C$10&gt;=FJ116,-AG116,IF(FJ116=$C$13+$C$10+1,$EK$93,0))</f>
        <v>0</v>
      </c>
      <c r="FL116" s="65">
        <f t="shared" si="99"/>
        <v>74118.803999999975</v>
      </c>
      <c r="FM116" s="65">
        <f t="shared" si="100"/>
        <v>390124.28153146128</v>
      </c>
      <c r="FN116" s="65">
        <f t="shared" si="167"/>
        <v>0</v>
      </c>
      <c r="FO116" s="65">
        <f t="shared" si="146"/>
        <v>417432.9812386636</v>
      </c>
      <c r="FP116" s="65">
        <f t="shared" si="101"/>
        <v>27308.699707202322</v>
      </c>
      <c r="FQ116" s="59">
        <f t="shared" si="147"/>
        <v>191.160897950416</v>
      </c>
      <c r="FR116" s="60">
        <f t="shared" si="148"/>
        <v>8348.6596247732723</v>
      </c>
      <c r="FS116" s="65">
        <f t="shared" si="102"/>
        <v>0</v>
      </c>
      <c r="FT116" s="65">
        <f t="shared" si="103"/>
        <v>0</v>
      </c>
      <c r="FU116" s="65">
        <f t="shared" si="149"/>
        <v>0</v>
      </c>
      <c r="FV116" s="65">
        <f t="shared" si="168"/>
        <v>1330.1075332237654</v>
      </c>
      <c r="FW116" s="61">
        <f t="shared" si="169"/>
        <v>7018.5520915495072</v>
      </c>
      <c r="FX116" s="61">
        <f>IF(AND(FJ116&lt;=$GF$88+$C$10,FV115&lt;=0,FN116&gt;0),(FJ116-$C$10+1)*AG116+$GF$80,FX115)</f>
        <v>73074.599999999977</v>
      </c>
      <c r="FY116" s="62">
        <f t="shared" si="170"/>
        <v>6.2959572251451821</v>
      </c>
      <c r="FZ116" s="63">
        <f t="shared" si="104"/>
        <v>417432.9812386636</v>
      </c>
      <c r="GA116" s="64">
        <f t="shared" si="105"/>
        <v>7961.7200312543118</v>
      </c>
      <c r="GB116" s="64">
        <f t="shared" si="106"/>
        <v>139146.44483895603</v>
      </c>
      <c r="GC116" s="66">
        <f t="shared" si="150"/>
        <v>0</v>
      </c>
      <c r="GD116" s="64">
        <f t="shared" si="107"/>
        <v>1580.6039999999994</v>
      </c>
      <c r="GE116"/>
      <c r="GF116"/>
      <c r="GG116" s="74"/>
      <c r="GH116" s="74"/>
      <c r="GI116" s="28">
        <f t="shared" si="108"/>
        <v>2057</v>
      </c>
      <c r="GJ116" s="9">
        <f>IF($GX$88+$C$10&gt;=GI116,-AG116,IF(GI116=$GX$88+$C$10+1,$FB$93,0))</f>
        <v>0</v>
      </c>
      <c r="GK116" s="5">
        <f t="shared" si="109"/>
        <v>475017.1614388884</v>
      </c>
      <c r="GL116" s="5">
        <f t="shared" si="110"/>
        <v>2547749.4964770759</v>
      </c>
      <c r="GM116" s="35">
        <f t="shared" si="171"/>
        <v>6487.6443579740135</v>
      </c>
      <c r="GN116" s="4">
        <f t="shared" si="151"/>
        <v>2733033.7406935035</v>
      </c>
      <c r="GO116" s="5">
        <f t="shared" si="111"/>
        <v>178796.5998584535</v>
      </c>
      <c r="GP116" s="5">
        <f t="shared" si="152"/>
        <v>1251.5761990091744</v>
      </c>
      <c r="GQ116" s="5">
        <f t="shared" si="112"/>
        <v>1251.5761990091744</v>
      </c>
      <c r="GR116" s="4">
        <f t="shared" si="153"/>
        <v>231.07225574206882</v>
      </c>
      <c r="GS116" s="7">
        <f t="shared" si="113"/>
        <v>15806.116054782287</v>
      </c>
      <c r="GT116" s="107" t="e">
        <f>IF($DG$62=0,EX116,IF(GI116-$C$10+1&lt;=$GF$98,0,#REF!-FX116))</f>
        <v>#REF!</v>
      </c>
      <c r="GU116"/>
      <c r="GV116"/>
      <c r="GW116"/>
      <c r="GX116"/>
      <c r="GY116" s="74"/>
      <c r="GZ116" s="74"/>
      <c r="HA116" s="74"/>
      <c r="HB116" s="74"/>
      <c r="HC116" s="74"/>
      <c r="HD116" s="74"/>
    </row>
    <row r="117" spans="2:212" ht="16.149999999999999" thickBot="1" x14ac:dyDescent="0.55000000000000004">
      <c r="B117" s="333"/>
      <c r="C117" s="75"/>
      <c r="D117" s="75"/>
      <c r="F117" s="75"/>
      <c r="G117" s="75"/>
      <c r="H117" s="75"/>
      <c r="I117" s="75"/>
      <c r="J117" s="75"/>
      <c r="K117" s="75"/>
      <c r="L117" s="75"/>
      <c r="M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AB117" s="117" t="str">
        <f t="shared" si="34"/>
        <v/>
      </c>
      <c r="AC117" s="117" t="str">
        <f t="shared" si="35"/>
        <v/>
      </c>
      <c r="AD117" s="299">
        <f>IF($C$20="NEIN",$C$21,IF($C$22="JA",'HISTORISCHE RENDITEN'!E41,'HISTORISCHE RENDITEN'!D41))</f>
        <v>-2.7400000000000001E-2</v>
      </c>
      <c r="AE117" s="129">
        <f t="shared" si="122"/>
        <v>65</v>
      </c>
      <c r="AF117" s="120">
        <f t="shared" si="154"/>
        <v>2058</v>
      </c>
      <c r="AG117" s="122">
        <f t="shared" si="123"/>
        <v>0</v>
      </c>
      <c r="AH117" s="124">
        <f t="shared" si="155"/>
        <v>430891.77838569693</v>
      </c>
      <c r="AI117" s="296">
        <f t="shared" si="114"/>
        <v>1193635.001849056</v>
      </c>
      <c r="AJ117" s="123">
        <f t="shared" si="67"/>
        <v>0</v>
      </c>
      <c r="AK117" s="124">
        <f t="shared" si="156"/>
        <v>1160929.4027983919</v>
      </c>
      <c r="AL117" s="122">
        <f t="shared" si="124"/>
        <v>-32705.59905066411</v>
      </c>
      <c r="AM117" s="122" t="b">
        <f>IF($C$25="Ausschütter",0,IF(AL117&gt;=0,(AI117+AJ117)*$C$48*0.7))</f>
        <v>0</v>
      </c>
      <c r="AN117" s="122">
        <f t="shared" si="125"/>
        <v>0</v>
      </c>
      <c r="AO117" s="122">
        <f t="shared" si="39"/>
        <v>0</v>
      </c>
      <c r="AP117" s="122">
        <f t="shared" si="69"/>
        <v>12559.081115997424</v>
      </c>
      <c r="AQ117" s="122">
        <f>IF($C$25="AUSSCHÜTTER",0,IF(AO117*$C$46*$C$49&lt;=$C$47,0,AO117*$C$46*$C$49))</f>
        <v>0</v>
      </c>
      <c r="AR117" s="122">
        <f>IF(AO116*$C$49&gt;$C$47,(AN117)*$C$49*$C$46,IF((AO116+AN117)*$C$49&gt;$C$47,((AO116+AN117)*$C$49-$C$47)*$C$46,0))</f>
        <v>0</v>
      </c>
      <c r="AS117" s="122">
        <f t="shared" si="70"/>
        <v>0</v>
      </c>
      <c r="AT117" s="122">
        <f t="shared" si="157"/>
        <v>430891.77838569693</v>
      </c>
      <c r="AU117" s="122">
        <f t="shared" si="115"/>
        <v>0</v>
      </c>
      <c r="AV117" s="122">
        <f t="shared" si="71"/>
        <v>1160929.4027983919</v>
      </c>
      <c r="AW117" s="122">
        <f t="shared" si="158"/>
        <v>0</v>
      </c>
      <c r="AX117" s="130">
        <f t="shared" si="159"/>
        <v>0</v>
      </c>
      <c r="AY117" s="82">
        <f>IF(AF117&lt;$C$11,$C$15*(1+$C$19)^(AF117-$C$10),0)</f>
        <v>0</v>
      </c>
      <c r="AZ117" s="82">
        <f>$C$14*(1+$C$37)^(AF117-$C$10)</f>
        <v>44880.276574995187</v>
      </c>
      <c r="BA117" s="165">
        <f>IF(AF117&lt;$C$11,0,MAX($C$38*AI117,AZ117))</f>
        <v>44880.276574995187</v>
      </c>
      <c r="BB117" s="82">
        <f>IF(AF117&lt;$C$11,0,MAX($C$38*AI117,AZ117))</f>
        <v>44880.276574995187</v>
      </c>
      <c r="BC117" s="136">
        <f>IF($C$39="JA",CT117,DG117)</f>
        <v>11837.17294665498</v>
      </c>
      <c r="BD117" s="82">
        <f t="shared" si="126"/>
        <v>0</v>
      </c>
      <c r="BE117" s="82">
        <f>IF(AF117&lt;($C$8+$C$30),0,$C$29*12*(1-$C$31))</f>
        <v>0</v>
      </c>
      <c r="BF117" s="82">
        <f>IF(AF117&lt;($C$8+$C$34),0,$C$33*12*(1-$C$35))</f>
        <v>0</v>
      </c>
      <c r="BG117" s="82">
        <f>IF(AF117&lt;$C$11,0,IF(AI117&lt;0,$C$42*(1+$C$44)^(AF117-$C$10),IF(((AL117+BE117+BF117)*$C$41)&lt;$C$42*(1+$C$44)^(AF117-$C$10),$C$42*(1+$C$44)^(AF117-$C$10),IF(((AL117+BE117+BF117)*$C$41)&lt;$C$43*(1+$C$44)^(AF117-$C$10),(AL117+BE117+BF117)*$C$41,IF(((AL117+BE117+BF117+BB117)*$C$41)&lt;$C$43*(1+$C$44)^(AF117-$C$10),((AL117+BE117+BF117+BB117)*$C$41),$C$43*(1+$C$44)^(AF117-$C$10))))))</f>
        <v>4163.463914805985</v>
      </c>
      <c r="BH117" s="82">
        <f t="shared" si="72"/>
        <v>60880.913436456154</v>
      </c>
      <c r="BI117" s="242">
        <f t="shared" si="73"/>
        <v>1160929.4027983919</v>
      </c>
      <c r="BJ117" s="217">
        <f t="shared" si="74"/>
        <v>1100048.4893619358</v>
      </c>
      <c r="BK117" s="118"/>
      <c r="BL117" s="219">
        <f t="shared" si="127"/>
        <v>21</v>
      </c>
      <c r="BM117" s="220">
        <f t="shared" si="128"/>
        <v>38</v>
      </c>
      <c r="BN117" s="220">
        <f t="shared" si="121"/>
        <v>0</v>
      </c>
      <c r="BO117" s="221">
        <f t="shared" si="129"/>
        <v>0</v>
      </c>
      <c r="BP117" s="221">
        <f t="shared" si="130"/>
        <v>0</v>
      </c>
      <c r="BQ117" s="222">
        <f t="shared" si="9"/>
        <v>0</v>
      </c>
      <c r="BR117" s="223">
        <f>IF(BM117&lt;$C$11-$C$10+1,0,IF(BL117&lt;=$C$13,VLOOKUP(BL117,$BN$80:$BQ$156,2,FALSE)-BS117,0))</f>
        <v>0</v>
      </c>
      <c r="BS117" s="223">
        <f>IF(BM117&lt;$C$11-$C$10+1,0,IF(BL117&lt;=$C$13,VLOOKUP(BL117,$BN$80:$BQ$156,3,FALSE),0))</f>
        <v>0</v>
      </c>
      <c r="BT117" s="222">
        <f>IF(BM117&lt;$C$11-$C$10+1,0,IF(BL117&lt;=$C$13,VLOOKUP(BL117,$BN$80:$BQ$156,4,FALSE),0))</f>
        <v>0</v>
      </c>
      <c r="BU117" s="223">
        <f t="shared" si="160"/>
        <v>129849.0564503863</v>
      </c>
      <c r="BV117" s="223">
        <f t="shared" si="161"/>
        <v>0</v>
      </c>
      <c r="BW117" s="223">
        <f t="shared" si="118"/>
        <v>129849.0564503863</v>
      </c>
      <c r="BX117" s="223">
        <f>IF(AND(BS117&lt;=0,BN117=0),MIN((MAX($BZ$80:$BZ$156)-SUM($BX$80:BX116)),CA117),IF(BS117&lt;CA117,BS117,CA117))</f>
        <v>0</v>
      </c>
      <c r="BY117" s="222">
        <f>IF(BN117&gt;0,0,IF(AND(BN117=0,BT117&lt;=0),100%,((BW116*(AVERAGE($BT$80:BT116))+(BR117*BT117))/(BR117+BW116+BS117+BV116))))</f>
        <v>1</v>
      </c>
      <c r="BZ117" s="139">
        <f t="shared" si="162"/>
        <v>430891.77838569693</v>
      </c>
      <c r="CA117" s="122">
        <f t="shared" si="131"/>
        <v>44880.276574995187</v>
      </c>
      <c r="CB117" s="181">
        <f t="shared" si="47"/>
        <v>1</v>
      </c>
      <c r="CC117" s="122">
        <f t="shared" si="48"/>
        <v>932333.88899743091</v>
      </c>
      <c r="CD117" s="182">
        <f t="shared" si="119"/>
        <v>0</v>
      </c>
      <c r="CE117" s="122">
        <f t="shared" si="75"/>
        <v>430891.77838569693</v>
      </c>
      <c r="CF117" s="122">
        <f t="shared" si="76"/>
        <v>0</v>
      </c>
      <c r="CG117" s="122" t="str">
        <f t="shared" si="132"/>
        <v/>
      </c>
      <c r="CH117" s="140">
        <f t="shared" si="133"/>
        <v>1</v>
      </c>
      <c r="CI117" s="142">
        <f t="shared" si="77"/>
        <v>9984</v>
      </c>
      <c r="CJ117" s="134">
        <f>CI117*$C$57</f>
        <v>0</v>
      </c>
      <c r="CK117" s="142">
        <f t="shared" si="78"/>
        <v>14926</v>
      </c>
      <c r="CL117" s="134">
        <f>CK117*$C$57</f>
        <v>0</v>
      </c>
      <c r="CM117" s="142">
        <f t="shared" si="79"/>
        <v>58596</v>
      </c>
      <c r="CN117" s="134">
        <f>CM117*$C$57</f>
        <v>0</v>
      </c>
      <c r="CO117" s="132">
        <f t="shared" si="117"/>
        <v>44880.276574995187</v>
      </c>
      <c r="CP117" s="140">
        <f t="shared" si="134"/>
        <v>0.36346621899471337</v>
      </c>
      <c r="CQ117" s="121" t="str">
        <f>IF($C$50="NEIN","NEIN",IF(CS117&lt;CR117,"JA","NEIN"))</f>
        <v>NEIN</v>
      </c>
      <c r="CR117" s="121">
        <f>CO117*$C$46</f>
        <v>11837.17294665498</v>
      </c>
      <c r="CS117" s="121">
        <f t="shared" si="135"/>
        <v>9970.4911987429005</v>
      </c>
      <c r="CT117" s="201">
        <f>IF($C$50="NEIN",CR117,IF(CQ117="NEIN",CR117,CS117))</f>
        <v>11837.17294665498</v>
      </c>
      <c r="CU117" s="149"/>
      <c r="CV117" s="202">
        <f t="shared" si="80"/>
        <v>9984</v>
      </c>
      <c r="CW117" s="134">
        <f>CV117*$C$57</f>
        <v>0</v>
      </c>
      <c r="CX117" s="142">
        <f t="shared" si="81"/>
        <v>14926</v>
      </c>
      <c r="CY117" s="134">
        <f>CX117*$C$57</f>
        <v>0</v>
      </c>
      <c r="CZ117" s="142">
        <f t="shared" si="82"/>
        <v>58596</v>
      </c>
      <c r="DA117" s="143">
        <f>CZ117*$C$57</f>
        <v>0</v>
      </c>
      <c r="DB117" s="165">
        <f t="shared" si="120"/>
        <v>44880.276574995187</v>
      </c>
      <c r="DC117" s="140">
        <f t="shared" si="136"/>
        <v>0.36346621899471337</v>
      </c>
      <c r="DD117" s="121" t="str">
        <f>IF($C$50="NEIN","NEIN",IF(DF117&lt;DE117,"JA","NEIN"))</f>
        <v>NEIN</v>
      </c>
      <c r="DE117" s="121">
        <f>DB117*$C$46</f>
        <v>11837.17294665498</v>
      </c>
      <c r="DF117" s="121">
        <f t="shared" si="137"/>
        <v>9970.4911987429005</v>
      </c>
      <c r="DG117" s="201">
        <f>IF($C$50="NEIN",DE117,IF(DD117="NEIN",DE117,DF117))</f>
        <v>11837.17294665498</v>
      </c>
      <c r="DH117" s="159"/>
      <c r="DI117" s="74"/>
      <c r="DJ117" s="74"/>
      <c r="DK117" s="128"/>
      <c r="DL117" s="128"/>
      <c r="DM117" s="128"/>
      <c r="DN117" s="74"/>
      <c r="DO117" s="28">
        <f t="shared" si="83"/>
        <v>2058</v>
      </c>
      <c r="DP117" s="17">
        <f>IF($C$13+$C$10&gt;=DO117,-AG117,IF(DO117=$C$13+$C$10+1,$EK$93,0))</f>
        <v>0</v>
      </c>
      <c r="DQ117" s="17">
        <f t="shared" si="84"/>
        <v>1086862.8981070074</v>
      </c>
      <c r="DR117" s="17">
        <f t="shared" si="85"/>
        <v>2844950.6062525371</v>
      </c>
      <c r="DS117" s="17">
        <f t="shared" si="163"/>
        <v>47552.112741289035</v>
      </c>
      <c r="DT117" s="17">
        <f t="shared" si="138"/>
        <v>3094977.9093233943</v>
      </c>
      <c r="DU117" s="17">
        <f t="shared" si="86"/>
        <v>202475.19032956799</v>
      </c>
      <c r="DV117" s="33">
        <f t="shared" si="139"/>
        <v>1417.3263323069748</v>
      </c>
      <c r="DW117" s="32">
        <f t="shared" si="140"/>
        <v>61899.55818646789</v>
      </c>
      <c r="DX117" s="17">
        <f t="shared" si="87"/>
        <v>0</v>
      </c>
      <c r="DY117" s="17">
        <f t="shared" si="88"/>
        <v>0</v>
      </c>
      <c r="DZ117" s="17">
        <f t="shared" si="141"/>
        <v>0</v>
      </c>
      <c r="EA117" s="17">
        <f t="shared" si="164"/>
        <v>11216.942180176633</v>
      </c>
      <c r="EB117" s="15">
        <f t="shared" si="165"/>
        <v>50682.616006291253</v>
      </c>
      <c r="EC117" s="15">
        <f>IF(DP117=0,EC116,IF(DO117&lt;=$EK$88+$C$10,ABS(DP117)+EC116,EC116))</f>
        <v>430891.77838569693</v>
      </c>
      <c r="ED117" s="15">
        <f t="shared" si="89"/>
        <v>150321.79297281438</v>
      </c>
      <c r="EE117" s="16">
        <f t="shared" si="90"/>
        <v>3094977.9093233943</v>
      </c>
      <c r="EF117" s="15">
        <f t="shared" si="142"/>
        <v>47552.112741289035</v>
      </c>
      <c r="EG117" s="15">
        <f t="shared" si="91"/>
        <v>655971.1197213108</v>
      </c>
      <c r="EH117" s="16"/>
      <c r="EI117" s="16"/>
      <c r="EJ117"/>
      <c r="EK117"/>
      <c r="EL117"/>
      <c r="EM117" s="28">
        <f t="shared" si="92"/>
        <v>2058</v>
      </c>
      <c r="EN117" s="29">
        <f>IF($C$13+$C$10&gt;=EM117,-(AG117),IF(EM117=$C$13+$C$10+1,$FB$93,0))</f>
        <v>0</v>
      </c>
      <c r="EO117" s="30">
        <f t="shared" si="93"/>
        <v>430891.77838569693</v>
      </c>
      <c r="EP117" s="30">
        <f t="shared" si="94"/>
        <v>3203669.9537430229</v>
      </c>
      <c r="EQ117" s="30">
        <f t="shared" si="166"/>
        <v>0</v>
      </c>
      <c r="ER117" s="25">
        <f t="shared" si="143"/>
        <v>3427926.8505050344</v>
      </c>
      <c r="ES117" s="30">
        <f t="shared" si="95"/>
        <v>224256.89676201157</v>
      </c>
      <c r="ET117" s="26">
        <f t="shared" si="144"/>
        <v>1569.7982773340811</v>
      </c>
      <c r="EU117" s="30">
        <f t="shared" si="96"/>
        <v>1569.7982773340811</v>
      </c>
      <c r="EV117" s="25">
        <f t="shared" si="145"/>
        <v>0</v>
      </c>
      <c r="EW117" s="31">
        <f t="shared" si="97"/>
        <v>20979.245504835344</v>
      </c>
      <c r="EX117" s="27">
        <f>IF(EM117=0,EX116,IF(EM117&lt;=$FB$88+$C$10,ABS(EN117)+EX116,EX116))</f>
        <v>430891.77838569693</v>
      </c>
      <c r="EY117" s="15"/>
      <c r="EZ117"/>
      <c r="FA117"/>
      <c r="FB117"/>
      <c r="FC117" s="74"/>
      <c r="FD117" s="74"/>
      <c r="FE117" s="74"/>
      <c r="FF117" s="74"/>
      <c r="FG117" s="74"/>
      <c r="FH117" s="74"/>
      <c r="FI117" s="74"/>
      <c r="FJ117" s="28">
        <f t="shared" si="98"/>
        <v>2058</v>
      </c>
      <c r="FK117" s="65">
        <f>IF($C$13+$C$10&gt;=FJ117,-AG117,IF(FJ117=$C$13+$C$10+1,$EK$93,0))</f>
        <v>0</v>
      </c>
      <c r="FL117" s="65">
        <f t="shared" si="99"/>
        <v>74118.803999999975</v>
      </c>
      <c r="FM117" s="65">
        <f t="shared" si="100"/>
        <v>409084.32161389035</v>
      </c>
      <c r="FN117" s="65">
        <f t="shared" si="167"/>
        <v>0</v>
      </c>
      <c r="FO117" s="65">
        <f t="shared" si="146"/>
        <v>437720.22412686271</v>
      </c>
      <c r="FP117" s="65">
        <f t="shared" si="101"/>
        <v>28635.90251297236</v>
      </c>
      <c r="FQ117" s="59">
        <f t="shared" si="147"/>
        <v>200.45131759080627</v>
      </c>
      <c r="FR117" s="60">
        <f t="shared" si="148"/>
        <v>8754.4044825372548</v>
      </c>
      <c r="FS117" s="65">
        <f t="shared" si="102"/>
        <v>0</v>
      </c>
      <c r="FT117" s="65">
        <f t="shared" si="103"/>
        <v>0</v>
      </c>
      <c r="FU117" s="65">
        <f t="shared" si="149"/>
        <v>0</v>
      </c>
      <c r="FV117" s="65">
        <f t="shared" si="168"/>
        <v>1405.0181775884405</v>
      </c>
      <c r="FW117" s="61">
        <f t="shared" si="169"/>
        <v>7349.3863049488145</v>
      </c>
      <c r="FX117" s="61">
        <f>IF(AND(FJ117&lt;=$GF$88+$C$10,FV116&lt;=0,FN117&gt;0),(FJ117-$C$10+1)*AG117+$GF$80,FX116)</f>
        <v>73074.599999999977</v>
      </c>
      <c r="FY117" s="62">
        <f t="shared" si="170"/>
        <v>6.6505407462872386</v>
      </c>
      <c r="FZ117" s="63">
        <f t="shared" si="104"/>
        <v>437720.22412686271</v>
      </c>
      <c r="GA117" s="64">
        <f t="shared" si="105"/>
        <v>8348.6596247732723</v>
      </c>
      <c r="GB117" s="64">
        <f t="shared" si="106"/>
        <v>147495.10446372931</v>
      </c>
      <c r="GC117" s="66">
        <f t="shared" si="150"/>
        <v>0</v>
      </c>
      <c r="GD117" s="64">
        <f t="shared" si="107"/>
        <v>1580.6039999999994</v>
      </c>
      <c r="GE117"/>
      <c r="GF117"/>
      <c r="GG117" s="74"/>
      <c r="GH117" s="74"/>
      <c r="GI117" s="28">
        <f t="shared" si="108"/>
        <v>2058</v>
      </c>
      <c r="GJ117" s="9">
        <f>IF($GX$88+$C$10&gt;=GI117,-AG117,IF(GI117=$GX$88+$C$10+1,$FB$93,0))</f>
        <v>0</v>
      </c>
      <c r="GK117" s="5">
        <f t="shared" si="109"/>
        <v>481804.64127469587</v>
      </c>
      <c r="GL117" s="5">
        <f t="shared" si="110"/>
        <v>2733033.7406935035</v>
      </c>
      <c r="GM117" s="35">
        <f t="shared" si="171"/>
        <v>6787.4798358074386</v>
      </c>
      <c r="GN117" s="4">
        <f t="shared" si="151"/>
        <v>2931608.7059663627</v>
      </c>
      <c r="GO117" s="5">
        <f t="shared" si="111"/>
        <v>191787.48543705186</v>
      </c>
      <c r="GP117" s="5">
        <f t="shared" si="152"/>
        <v>1342.5123980593623</v>
      </c>
      <c r="GQ117" s="5">
        <f t="shared" si="112"/>
        <v>1342.5123980593623</v>
      </c>
      <c r="GR117" s="4">
        <f t="shared" si="153"/>
        <v>247.86135149170974</v>
      </c>
      <c r="GS117" s="7">
        <f t="shared" si="113"/>
        <v>17148.628452841651</v>
      </c>
      <c r="GT117" s="107" t="e">
        <f>IF($DG$62=0,EX117,IF(GI117-$C$10+1&lt;=$GF$98,0,#REF!-FX117))</f>
        <v>#REF!</v>
      </c>
      <c r="GU117"/>
      <c r="GV117"/>
      <c r="GW117"/>
      <c r="GX117"/>
      <c r="GY117" s="74"/>
      <c r="GZ117" s="74"/>
      <c r="HA117" s="74"/>
      <c r="HB117" s="74"/>
      <c r="HC117" s="74"/>
      <c r="HD117" s="74"/>
    </row>
    <row r="118" spans="2:212" ht="16.149999999999999" thickBot="1" x14ac:dyDescent="0.55000000000000004">
      <c r="B118" s="333"/>
      <c r="C118" s="75"/>
      <c r="D118" s="75"/>
      <c r="F118" s="75"/>
      <c r="G118" s="75"/>
      <c r="H118" s="75"/>
      <c r="I118" s="75"/>
      <c r="J118" s="75"/>
      <c r="K118" s="75"/>
      <c r="L118" s="75"/>
      <c r="M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AB118" s="117" t="str">
        <f t="shared" si="34"/>
        <v/>
      </c>
      <c r="AC118" s="117" t="str">
        <f t="shared" si="35"/>
        <v/>
      </c>
      <c r="AD118" s="299">
        <f>IF($C$20="NEIN",$C$21,IF($C$22="JA",'HISTORISCHE RENDITEN'!E42,'HISTORISCHE RENDITEN'!D42))</f>
        <v>5.3200000000000004E-2</v>
      </c>
      <c r="AE118" s="129">
        <f t="shared" si="122"/>
        <v>66</v>
      </c>
      <c r="AF118" s="120">
        <f t="shared" si="154"/>
        <v>2059</v>
      </c>
      <c r="AG118" s="122">
        <f t="shared" si="123"/>
        <v>0</v>
      </c>
      <c r="AH118" s="124">
        <f t="shared" si="155"/>
        <v>430891.77838569693</v>
      </c>
      <c r="AI118" s="296">
        <f t="shared" si="114"/>
        <v>1100048.4893619358</v>
      </c>
      <c r="AJ118" s="123">
        <f t="shared" si="67"/>
        <v>0</v>
      </c>
      <c r="AK118" s="124">
        <f t="shared" si="156"/>
        <v>1158571.0689959906</v>
      </c>
      <c r="AL118" s="122">
        <f t="shared" si="124"/>
        <v>58522.579634054797</v>
      </c>
      <c r="AM118" s="122">
        <f>IF($C$25="Ausschütter",0,IF(AL118&gt;=0,(AI118+AJ118)*$C$48*0.7))</f>
        <v>539.02375978734847</v>
      </c>
      <c r="AN118" s="122">
        <f t="shared" si="125"/>
        <v>0</v>
      </c>
      <c r="AO118" s="122">
        <f t="shared" si="39"/>
        <v>539.02375978734847</v>
      </c>
      <c r="AP118" s="122">
        <f t="shared" si="69"/>
        <v>13098.104875784773</v>
      </c>
      <c r="AQ118" s="122">
        <f>IF($C$25="AUSSCHÜTTER",0,IF(AO118*$C$46*$C$49&lt;=$C$47,0,AO118*$C$46*$C$49))</f>
        <v>0</v>
      </c>
      <c r="AR118" s="122">
        <f>IF(AO117*$C$49&gt;$C$47,(AN118)*$C$49*$C$46,IF((AO117+AN118)*$C$49&gt;$C$47,((AO117+AN118)*$C$49-$C$47)*$C$46,0))</f>
        <v>0</v>
      </c>
      <c r="AS118" s="122">
        <f t="shared" si="70"/>
        <v>0</v>
      </c>
      <c r="AT118" s="122">
        <f t="shared" si="157"/>
        <v>430891.77838569693</v>
      </c>
      <c r="AU118" s="122">
        <f t="shared" si="115"/>
        <v>0</v>
      </c>
      <c r="AV118" s="122">
        <f t="shared" si="71"/>
        <v>1158571.0689959906</v>
      </c>
      <c r="AW118" s="122">
        <f t="shared" si="158"/>
        <v>0</v>
      </c>
      <c r="AX118" s="130">
        <f t="shared" si="159"/>
        <v>0</v>
      </c>
      <c r="AY118" s="82">
        <f>IF(AF118&lt;$C$11,$C$15*(1+$C$19)^(AF118-$C$10),0)</f>
        <v>0</v>
      </c>
      <c r="AZ118" s="82">
        <f>$C$14*(1+$C$37)^(AF118-$C$10)</f>
        <v>46002.283489370049</v>
      </c>
      <c r="BA118" s="165">
        <f>IF(AF118&lt;$C$11,0,MAX($C$38*AI118,AZ118))</f>
        <v>46002.283489370049</v>
      </c>
      <c r="BB118" s="82">
        <f>IF(AF118&lt;$C$11,0,MAX($C$38*AI118,AZ118))</f>
        <v>46002.283489370049</v>
      </c>
      <c r="BC118" s="136">
        <f>IF($C$39="JA",CT118,DG118)</f>
        <v>12133.102270321349</v>
      </c>
      <c r="BD118" s="82">
        <f t="shared" si="126"/>
        <v>0</v>
      </c>
      <c r="BE118" s="82">
        <f>IF(AF118&lt;($C$8+$C$30),0,$C$29*12*(1-$C$31))</f>
        <v>0</v>
      </c>
      <c r="BF118" s="82">
        <f>IF(AF118&lt;($C$8+$C$34),0,$C$33*12*(1-$C$35))</f>
        <v>0</v>
      </c>
      <c r="BG118" s="82">
        <f>IF(AF118&lt;$C$11,0,IF(AI118&lt;0,$C$42*(1+$C$44)^(AF118-$C$10),IF(((AL118+BE118+BF118)*$C$41)&lt;$C$42*(1+$C$44)^(AF118-$C$10),$C$42*(1+$C$44)^(AF118-$C$10),IF(((AL118+BE118+BF118)*$C$41)&lt;$C$43*(1+$C$44)^(AF118-$C$10),(AL118+BE118+BF118)*$C$41,IF(((AL118+BE118+BF118+BB118)*$C$41)&lt;$C$43*(1+$C$44)^(AF118-$C$10),((AL118+BE118+BF118+BB118)*$C$41),$C$43*(1+$C$44)^(AF118-$C$10))))))</f>
        <v>11119.290130470412</v>
      </c>
      <c r="BH118" s="82">
        <f t="shared" si="72"/>
        <v>69254.675890161801</v>
      </c>
      <c r="BI118" s="242">
        <f t="shared" si="73"/>
        <v>1158571.0689959906</v>
      </c>
      <c r="BJ118" s="217">
        <f t="shared" si="74"/>
        <v>1089316.3931058287</v>
      </c>
      <c r="BK118" s="118"/>
      <c r="BL118" s="219">
        <f t="shared" si="127"/>
        <v>22</v>
      </c>
      <c r="BM118" s="220">
        <f t="shared" si="128"/>
        <v>39</v>
      </c>
      <c r="BN118" s="220">
        <f t="shared" si="121"/>
        <v>0</v>
      </c>
      <c r="BO118" s="221">
        <f t="shared" si="129"/>
        <v>0</v>
      </c>
      <c r="BP118" s="221">
        <f t="shared" si="130"/>
        <v>0</v>
      </c>
      <c r="BQ118" s="222">
        <f t="shared" si="9"/>
        <v>0</v>
      </c>
      <c r="BR118" s="223">
        <f>IF(BM118&lt;$C$11-$C$10+1,0,IF(BL118&lt;=$C$13,VLOOKUP(BL118,$BN$80:$BQ$156,2,FALSE)-BS118,0))</f>
        <v>0</v>
      </c>
      <c r="BS118" s="223">
        <f>IF(BM118&lt;$C$11-$C$10+1,0,IF(BL118&lt;=$C$13,VLOOKUP(BL118,$BN$80:$BQ$156,3,FALSE),0))</f>
        <v>0</v>
      </c>
      <c r="BT118" s="222">
        <f>IF(BM118&lt;$C$11-$C$10+1,0,IF(BL118&lt;=$C$13,VLOOKUP(BL118,$BN$80:$BQ$156,4,FALSE),0))</f>
        <v>0</v>
      </c>
      <c r="BU118" s="223">
        <f t="shared" si="160"/>
        <v>83846.77296101625</v>
      </c>
      <c r="BV118" s="223">
        <f t="shared" si="161"/>
        <v>0</v>
      </c>
      <c r="BW118" s="223">
        <f t="shared" si="118"/>
        <v>83846.77296101625</v>
      </c>
      <c r="BX118" s="223">
        <f>IF(AND(BS118&lt;=0,BN118=0),MIN((MAX($BZ$80:$BZ$156)-SUM($BX$80:BX117)),CA118),IF(BS118&lt;CA118,BS118,CA118))</f>
        <v>0</v>
      </c>
      <c r="BY118" s="222">
        <f>IF(BN118&gt;0,0,IF(AND(BN118=0,BT118&lt;=0),100%,((BW117*(AVERAGE($BT$80:BT117))+(BR118*BT118))/(BR118+BW117+BS118+BV117))))</f>
        <v>1</v>
      </c>
      <c r="BZ118" s="139">
        <f t="shared" si="162"/>
        <v>430891.77838569693</v>
      </c>
      <c r="CA118" s="122">
        <f t="shared" si="131"/>
        <v>46002.283489370049</v>
      </c>
      <c r="CB118" s="181">
        <f t="shared" si="47"/>
        <v>1</v>
      </c>
      <c r="CC118" s="122">
        <f t="shared" si="48"/>
        <v>978336.17248680093</v>
      </c>
      <c r="CD118" s="182">
        <f t="shared" si="119"/>
        <v>0</v>
      </c>
      <c r="CE118" s="122">
        <f t="shared" si="75"/>
        <v>430891.77838569693</v>
      </c>
      <c r="CF118" s="122">
        <f t="shared" si="76"/>
        <v>0</v>
      </c>
      <c r="CG118" s="122" t="str">
        <f t="shared" si="132"/>
        <v/>
      </c>
      <c r="CH118" s="140">
        <f t="shared" si="133"/>
        <v>1</v>
      </c>
      <c r="CI118" s="142">
        <f t="shared" si="77"/>
        <v>9984</v>
      </c>
      <c r="CJ118" s="134">
        <f>CI118*$C$57</f>
        <v>0</v>
      </c>
      <c r="CK118" s="142">
        <f t="shared" si="78"/>
        <v>14926</v>
      </c>
      <c r="CL118" s="134">
        <f>CK118*$C$57</f>
        <v>0</v>
      </c>
      <c r="CM118" s="142">
        <f t="shared" si="79"/>
        <v>58596</v>
      </c>
      <c r="CN118" s="134">
        <f>CM118*$C$57</f>
        <v>0</v>
      </c>
      <c r="CO118" s="132">
        <f t="shared" si="117"/>
        <v>46002.283489370049</v>
      </c>
      <c r="CP118" s="140">
        <f t="shared" si="134"/>
        <v>0.36809093263308013</v>
      </c>
      <c r="CQ118" s="121" t="str">
        <f>IF($C$50="NEIN","NEIN",IF(CS118&lt;CR118,"JA","NEIN"))</f>
        <v>NEIN</v>
      </c>
      <c r="CR118" s="121">
        <f>CO118*$C$46</f>
        <v>12133.102270321349</v>
      </c>
      <c r="CS118" s="121">
        <f t="shared" si="135"/>
        <v>10380.79272935679</v>
      </c>
      <c r="CT118" s="201">
        <f>IF($C$50="NEIN",CR118,IF(CQ118="NEIN",CR118,CS118))</f>
        <v>12133.102270321349</v>
      </c>
      <c r="CU118" s="149"/>
      <c r="CV118" s="202">
        <f t="shared" si="80"/>
        <v>9984</v>
      </c>
      <c r="CW118" s="134">
        <f>CV118*$C$57</f>
        <v>0</v>
      </c>
      <c r="CX118" s="142">
        <f t="shared" si="81"/>
        <v>14926</v>
      </c>
      <c r="CY118" s="134">
        <f>CX118*$C$57</f>
        <v>0</v>
      </c>
      <c r="CZ118" s="142">
        <f t="shared" si="82"/>
        <v>58596</v>
      </c>
      <c r="DA118" s="143">
        <f>CZ118*$C$57</f>
        <v>0</v>
      </c>
      <c r="DB118" s="165">
        <f t="shared" si="120"/>
        <v>46002.283489370049</v>
      </c>
      <c r="DC118" s="140">
        <f t="shared" si="136"/>
        <v>0.36809093263308013</v>
      </c>
      <c r="DD118" s="121" t="str">
        <f>IF($C$50="NEIN","NEIN",IF(DF118&lt;DE118,"JA","NEIN"))</f>
        <v>NEIN</v>
      </c>
      <c r="DE118" s="121">
        <f>DB118*$C$46</f>
        <v>12133.102270321349</v>
      </c>
      <c r="DF118" s="121">
        <f t="shared" si="137"/>
        <v>10380.79272935679</v>
      </c>
      <c r="DG118" s="201">
        <f>IF($C$50="NEIN",DE118,IF(DD118="NEIN",DE118,DF118))</f>
        <v>12133.102270321349</v>
      </c>
      <c r="DH118" s="159"/>
      <c r="DI118" s="74"/>
      <c r="DJ118" s="74"/>
      <c r="DK118" s="128"/>
      <c r="DL118" s="128"/>
      <c r="DM118" s="128"/>
      <c r="DN118" s="74"/>
      <c r="DO118" s="28">
        <f t="shared" si="83"/>
        <v>2059</v>
      </c>
      <c r="DP118" s="17">
        <f>IF($C$13+$C$10&gt;=DO118,-AG118,IF(DO118=$C$13+$C$10+1,$EK$93,0))</f>
        <v>0</v>
      </c>
      <c r="DQ118" s="17">
        <f t="shared" si="84"/>
        <v>1137545.5141132986</v>
      </c>
      <c r="DR118" s="17">
        <f t="shared" si="85"/>
        <v>3033078.3511369266</v>
      </c>
      <c r="DS118" s="17">
        <f t="shared" si="163"/>
        <v>50682.616006291253</v>
      </c>
      <c r="DT118" s="17">
        <f t="shared" si="138"/>
        <v>3299624.2348432434</v>
      </c>
      <c r="DU118" s="17">
        <f t="shared" si="86"/>
        <v>215863.26770002535</v>
      </c>
      <c r="DV118" s="33">
        <f t="shared" si="139"/>
        <v>1511.0428739001766</v>
      </c>
      <c r="DW118" s="32">
        <f t="shared" si="140"/>
        <v>65992.484696864864</v>
      </c>
      <c r="DX118" s="17">
        <f t="shared" si="87"/>
        <v>0</v>
      </c>
      <c r="DY118" s="17">
        <f t="shared" si="88"/>
        <v>0</v>
      </c>
      <c r="DZ118" s="17">
        <f t="shared" si="141"/>
        <v>0</v>
      </c>
      <c r="EA118" s="17">
        <f t="shared" si="164"/>
        <v>11972.598737158674</v>
      </c>
      <c r="EB118" s="15">
        <f t="shared" si="165"/>
        <v>54019.885959706189</v>
      </c>
      <c r="EC118" s="15">
        <f>IF(DP118=0,EC117,IF(DO118&lt;=$EK$88+$C$10,ABS(DP118)+EC117,EC117))</f>
        <v>430891.77838569693</v>
      </c>
      <c r="ED118" s="15">
        <f t="shared" si="89"/>
        <v>162294.39170997305</v>
      </c>
      <c r="EE118" s="16">
        <f t="shared" si="90"/>
        <v>3299624.2348432434</v>
      </c>
      <c r="EF118" s="15">
        <f t="shared" si="142"/>
        <v>50682.616006291253</v>
      </c>
      <c r="EG118" s="15">
        <f t="shared" si="91"/>
        <v>706653.73572760203</v>
      </c>
      <c r="EH118" s="16"/>
      <c r="EI118" s="16"/>
      <c r="EJ118"/>
      <c r="EK118"/>
      <c r="EL118"/>
      <c r="EM118" s="28">
        <f t="shared" si="92"/>
        <v>2059</v>
      </c>
      <c r="EN118" s="29">
        <f>IF($C$13+$C$10&gt;=EM118,-(AG118),IF(EM118=$C$13+$C$10+1,$FB$93,0))</f>
        <v>0</v>
      </c>
      <c r="EO118" s="30">
        <f t="shared" si="93"/>
        <v>430891.77838569693</v>
      </c>
      <c r="EP118" s="30">
        <f t="shared" si="94"/>
        <v>3427926.8505050344</v>
      </c>
      <c r="EQ118" s="30">
        <f t="shared" si="166"/>
        <v>0</v>
      </c>
      <c r="ER118" s="25">
        <f t="shared" si="143"/>
        <v>3667881.7300403873</v>
      </c>
      <c r="ES118" s="30">
        <f t="shared" si="95"/>
        <v>239954.87953535281</v>
      </c>
      <c r="ET118" s="26">
        <f t="shared" si="144"/>
        <v>1679.6841567474667</v>
      </c>
      <c r="EU118" s="30">
        <f t="shared" si="96"/>
        <v>1679.6841567474667</v>
      </c>
      <c r="EV118" s="25">
        <f t="shared" si="145"/>
        <v>0</v>
      </c>
      <c r="EW118" s="31">
        <f t="shared" si="97"/>
        <v>22658.92966158281</v>
      </c>
      <c r="EX118" s="27">
        <f>IF(EM118=0,EX117,IF(EM118&lt;=$FB$88+$C$10,ABS(EN118)+EX117,EX117))</f>
        <v>430891.77838569693</v>
      </c>
      <c r="EY118" s="15"/>
      <c r="EZ118"/>
      <c r="FA118"/>
      <c r="FB118"/>
      <c r="FC118" s="74"/>
      <c r="FD118" s="74"/>
      <c r="FE118" s="74"/>
      <c r="FF118" s="74"/>
      <c r="FG118" s="74"/>
      <c r="FH118" s="74"/>
      <c r="FI118" s="74"/>
      <c r="FJ118" s="28">
        <f t="shared" si="98"/>
        <v>2059</v>
      </c>
      <c r="FK118" s="65">
        <f>IF($C$13+$C$10&gt;=FJ118,-AG118,IF(FJ118=$C$13+$C$10+1,$EK$93,0))</f>
        <v>0</v>
      </c>
      <c r="FL118" s="65">
        <f t="shared" si="99"/>
        <v>74118.803999999975</v>
      </c>
      <c r="FM118" s="65">
        <f t="shared" si="100"/>
        <v>428965.81964432547</v>
      </c>
      <c r="FN118" s="65">
        <f t="shared" si="167"/>
        <v>0</v>
      </c>
      <c r="FO118" s="65">
        <f t="shared" si="146"/>
        <v>458993.42701942829</v>
      </c>
      <c r="FP118" s="65">
        <f t="shared" si="101"/>
        <v>30027.607375102816</v>
      </c>
      <c r="FQ118" s="59">
        <f t="shared" si="147"/>
        <v>210.19325162571945</v>
      </c>
      <c r="FR118" s="60">
        <f t="shared" si="148"/>
        <v>9179.8685403885665</v>
      </c>
      <c r="FS118" s="65">
        <f t="shared" si="102"/>
        <v>0</v>
      </c>
      <c r="FT118" s="65">
        <f t="shared" si="103"/>
        <v>0</v>
      </c>
      <c r="FU118" s="65">
        <f t="shared" si="149"/>
        <v>0</v>
      </c>
      <c r="FV118" s="65">
        <f t="shared" si="168"/>
        <v>1483.5694792692389</v>
      </c>
      <c r="FW118" s="61">
        <f t="shared" si="169"/>
        <v>7696.2990611193272</v>
      </c>
      <c r="FX118" s="61">
        <f>IF(AND(FJ118&lt;=$GF$88+$C$10,FV117&lt;=0,FN118&gt;0),(FJ118-$C$10+1)*AG118+$GF$80,FX117)</f>
        <v>73074.599999999977</v>
      </c>
      <c r="FY118" s="62">
        <f t="shared" si="170"/>
        <v>7.0223570265567998</v>
      </c>
      <c r="FZ118" s="63">
        <f t="shared" si="104"/>
        <v>458993.42701942829</v>
      </c>
      <c r="GA118" s="64">
        <f t="shared" si="105"/>
        <v>8754.4044825372548</v>
      </c>
      <c r="GB118" s="64">
        <f t="shared" si="106"/>
        <v>156249.50894626655</v>
      </c>
      <c r="GC118" s="66">
        <f t="shared" si="150"/>
        <v>0</v>
      </c>
      <c r="GD118" s="64">
        <f t="shared" si="107"/>
        <v>1580.6039999999994</v>
      </c>
      <c r="GE118"/>
      <c r="GF118"/>
      <c r="GG118" s="74"/>
      <c r="GH118" s="74"/>
      <c r="GI118" s="28">
        <f t="shared" si="108"/>
        <v>2059</v>
      </c>
      <c r="GJ118" s="9">
        <f>IF($GX$88+$C$10&gt;=GI118,-AG118,IF(GI118=$GX$88+$C$10+1,$FB$93,0))</f>
        <v>0</v>
      </c>
      <c r="GK118" s="5">
        <f t="shared" si="109"/>
        <v>488906.16622815299</v>
      </c>
      <c r="GL118" s="5">
        <f t="shared" si="110"/>
        <v>2931608.7059663627</v>
      </c>
      <c r="GM118" s="35">
        <f t="shared" si="171"/>
        <v>7101.5249534571049</v>
      </c>
      <c r="GN118" s="4">
        <f t="shared" si="151"/>
        <v>3144419.9470842076</v>
      </c>
      <c r="GO118" s="5">
        <f t="shared" si="111"/>
        <v>205709.71616438776</v>
      </c>
      <c r="GP118" s="5">
        <f t="shared" si="152"/>
        <v>1439.9680131507116</v>
      </c>
      <c r="GQ118" s="5">
        <f t="shared" si="112"/>
        <v>1439.9680131507116</v>
      </c>
      <c r="GR118" s="4">
        <f t="shared" si="153"/>
        <v>265.85409442795009</v>
      </c>
      <c r="GS118" s="7">
        <f t="shared" si="113"/>
        <v>18588.596465992363</v>
      </c>
      <c r="GT118" s="107" t="e">
        <f>IF($DG$62=0,EX118,IF(GI118-$C$10+1&lt;=$GF$98,0,#REF!-FX118))</f>
        <v>#REF!</v>
      </c>
      <c r="GU118"/>
      <c r="GV118"/>
      <c r="GW118"/>
      <c r="GX118"/>
      <c r="GY118" s="74"/>
      <c r="GZ118" s="74"/>
      <c r="HA118" s="74"/>
      <c r="HB118" s="74"/>
      <c r="HC118" s="74"/>
      <c r="HD118" s="74"/>
    </row>
    <row r="119" spans="2:212" ht="16.149999999999999" thickBot="1" x14ac:dyDescent="0.55000000000000004">
      <c r="B119" s="333"/>
      <c r="C119" s="75"/>
      <c r="D119" s="75"/>
      <c r="F119" s="75"/>
      <c r="G119" s="75"/>
      <c r="H119" s="75"/>
      <c r="I119" s="75"/>
      <c r="J119" s="75"/>
      <c r="K119" s="75"/>
      <c r="L119" s="75"/>
      <c r="M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AB119" s="117" t="str">
        <f t="shared" si="34"/>
        <v/>
      </c>
      <c r="AC119" s="117" t="str">
        <f t="shared" si="35"/>
        <v/>
      </c>
      <c r="AD119" s="299">
        <f>IF($C$20="NEIN",$C$21,IF($C$22="JA",'HISTORISCHE RENDITEN'!E43,'HISTORISCHE RENDITEN'!D43))</f>
        <v>0.2011</v>
      </c>
      <c r="AE119" s="129">
        <f t="shared" ref="AE119:AE134" si="172">AE118+1</f>
        <v>67</v>
      </c>
      <c r="AF119" s="120">
        <f t="shared" si="154"/>
        <v>2060</v>
      </c>
      <c r="AG119" s="122">
        <f t="shared" si="123"/>
        <v>0</v>
      </c>
      <c r="AH119" s="124">
        <f t="shared" si="155"/>
        <v>430891.77838569693</v>
      </c>
      <c r="AI119" s="296">
        <f t="shared" si="114"/>
        <v>1089316.3931058287</v>
      </c>
      <c r="AJ119" s="123">
        <f t="shared" si="67"/>
        <v>0</v>
      </c>
      <c r="AK119" s="124">
        <f t="shared" si="156"/>
        <v>1308377.9197594109</v>
      </c>
      <c r="AL119" s="122">
        <f t="shared" si="124"/>
        <v>219061.52665358223</v>
      </c>
      <c r="AM119" s="122">
        <f>IF($C$25="Ausschütter",0,IF(AL119&gt;=0,(AI119+AJ119)*$C$48*0.7))</f>
        <v>533.76503262185599</v>
      </c>
      <c r="AN119" s="122">
        <f t="shared" si="125"/>
        <v>0</v>
      </c>
      <c r="AO119" s="122">
        <f t="shared" si="39"/>
        <v>533.76503262185599</v>
      </c>
      <c r="AP119" s="122">
        <f t="shared" si="69"/>
        <v>13631.869908406628</v>
      </c>
      <c r="AQ119" s="122">
        <f>IF($C$25="AUSSCHÜTTER",0,IF(AO119*$C$46*$C$49&lt;=$C$47,0,AO119*$C$46*$C$49))</f>
        <v>0</v>
      </c>
      <c r="AR119" s="122">
        <f>IF(AO118*$C$49&gt;$C$47,(AN119)*$C$49*$C$46,IF((AO118+AN119)*$C$49&gt;$C$47,((AO118+AN119)*$C$49-$C$47)*$C$46,0))</f>
        <v>0</v>
      </c>
      <c r="AS119" s="122">
        <f t="shared" si="70"/>
        <v>0</v>
      </c>
      <c r="AT119" s="122">
        <f t="shared" si="157"/>
        <v>430891.77838569693</v>
      </c>
      <c r="AU119" s="122">
        <f t="shared" si="115"/>
        <v>0</v>
      </c>
      <c r="AV119" s="122">
        <f t="shared" si="71"/>
        <v>1308377.9197594109</v>
      </c>
      <c r="AW119" s="122">
        <f t="shared" si="158"/>
        <v>0</v>
      </c>
      <c r="AX119" s="130">
        <f t="shared" si="159"/>
        <v>0</v>
      </c>
      <c r="AY119" s="82">
        <f>IF(AF119&lt;$C$11,$C$15*(1+$C$19)^(AF119-$C$10),0)</f>
        <v>0</v>
      </c>
      <c r="AZ119" s="82">
        <f>$C$14*(1+$C$37)^(AF119-$C$10)</f>
        <v>47152.340576604307</v>
      </c>
      <c r="BA119" s="165">
        <f>IF(AF119&lt;$C$11,0,MAX($C$38*AI119,AZ119))</f>
        <v>47152.340576604307</v>
      </c>
      <c r="BB119" s="82">
        <f>IF(AF119&lt;$C$11,0,MAX($C$38*AI119,AZ119))</f>
        <v>47152.340576604307</v>
      </c>
      <c r="BC119" s="136">
        <f>IF($C$39="JA",CT119,DG119)</f>
        <v>12436.429827079386</v>
      </c>
      <c r="BD119" s="82">
        <f t="shared" si="126"/>
        <v>0</v>
      </c>
      <c r="BE119" s="82">
        <f>IF(AF119&lt;($C$8+$C$30),0,$C$29*12*(1-$C$31))</f>
        <v>0</v>
      </c>
      <c r="BF119" s="82">
        <f>IF(AF119&lt;($C$8+$C$34),0,$C$33*12*(1-$C$35))</f>
        <v>0</v>
      </c>
      <c r="BG119" s="82">
        <f>IF(AF119&lt;$C$11,0,IF(AI119&lt;0,$C$42*(1+$C$44)^(AF119-$C$10),IF(((AL119+BE119+BF119)*$C$41)&lt;$C$42*(1+$C$44)^(AF119-$C$10),$C$42*(1+$C$44)^(AF119-$C$10),IF(((AL119+BE119+BF119)*$C$41)&lt;$C$43*(1+$C$44)^(AF119-$C$10),(AL119+BE119+BF119)*$C$41,IF(((AL119+BE119+BF119+BB119)*$C$41)&lt;$C$43*(1+$C$44)^(AF119-$C$10),((AL119+BE119+BF119+BB119)*$C$41),$C$43*(1+$C$44)^(AF119-$C$10))))))</f>
        <v>19301.870752339477</v>
      </c>
      <c r="BH119" s="82">
        <f t="shared" si="72"/>
        <v>78890.641156023165</v>
      </c>
      <c r="BI119" s="242">
        <f t="shared" si="73"/>
        <v>1308377.9197594109</v>
      </c>
      <c r="BJ119" s="217">
        <f t="shared" si="74"/>
        <v>1229487.2786033878</v>
      </c>
      <c r="BK119" s="118"/>
      <c r="BL119" s="219">
        <f t="shared" si="127"/>
        <v>23</v>
      </c>
      <c r="BM119" s="220">
        <f t="shared" si="128"/>
        <v>40</v>
      </c>
      <c r="BN119" s="220">
        <f t="shared" si="121"/>
        <v>0</v>
      </c>
      <c r="BO119" s="221">
        <f t="shared" si="129"/>
        <v>0</v>
      </c>
      <c r="BP119" s="221">
        <f t="shared" si="130"/>
        <v>0</v>
      </c>
      <c r="BQ119" s="222">
        <f t="shared" si="9"/>
        <v>0</v>
      </c>
      <c r="BR119" s="223">
        <f>IF(BM119&lt;$C$11-$C$10+1,0,IF(BL119&lt;=$C$13,VLOOKUP(BL119,$BN$80:$BQ$156,2,FALSE)-BS119,0))</f>
        <v>0</v>
      </c>
      <c r="BS119" s="223">
        <f>IF(BM119&lt;$C$11-$C$10+1,0,IF(BL119&lt;=$C$13,VLOOKUP(BL119,$BN$80:$BQ$156,3,FALSE),0))</f>
        <v>0</v>
      </c>
      <c r="BT119" s="222">
        <f>IF(BM119&lt;$C$11-$C$10+1,0,IF(BL119&lt;=$C$13,VLOOKUP(BL119,$BN$80:$BQ$156,4,FALSE),0))</f>
        <v>0</v>
      </c>
      <c r="BU119" s="223">
        <f t="shared" si="160"/>
        <v>36694.432384411943</v>
      </c>
      <c r="BV119" s="223">
        <f t="shared" si="161"/>
        <v>0</v>
      </c>
      <c r="BW119" s="223">
        <f t="shared" si="118"/>
        <v>36694.432384411943</v>
      </c>
      <c r="BX119" s="223">
        <f>IF(AND(BS119&lt;=0,BN119=0),MIN((MAX($BZ$80:$BZ$156)-SUM($BX$80:BX118)),CA119),IF(BS119&lt;CA119,BS119,CA119))</f>
        <v>0</v>
      </c>
      <c r="BY119" s="222">
        <f>IF(BN119&gt;0,0,IF(AND(BN119=0,BT119&lt;=0),100%,((BW118*(AVERAGE($BT$80:BT118))+(BR119*BT119))/(BR119+BW118+BS119+BV118))))</f>
        <v>1</v>
      </c>
      <c r="BZ119" s="139">
        <f t="shared" si="162"/>
        <v>430891.77838569693</v>
      </c>
      <c r="CA119" s="122">
        <f t="shared" si="131"/>
        <v>47152.340576604307</v>
      </c>
      <c r="CB119" s="181">
        <f t="shared" si="47"/>
        <v>1</v>
      </c>
      <c r="CC119" s="122">
        <f t="shared" si="48"/>
        <v>1025488.5130634053</v>
      </c>
      <c r="CD119" s="182">
        <f t="shared" si="119"/>
        <v>0</v>
      </c>
      <c r="CE119" s="122">
        <f t="shared" si="75"/>
        <v>430891.77838569693</v>
      </c>
      <c r="CF119" s="122">
        <f t="shared" si="76"/>
        <v>0</v>
      </c>
      <c r="CG119" s="122" t="str">
        <f t="shared" si="132"/>
        <v/>
      </c>
      <c r="CH119" s="140">
        <f t="shared" si="133"/>
        <v>1</v>
      </c>
      <c r="CI119" s="142">
        <f t="shared" si="77"/>
        <v>9984</v>
      </c>
      <c r="CJ119" s="134">
        <f>CI119*$C$57</f>
        <v>0</v>
      </c>
      <c r="CK119" s="142">
        <f t="shared" si="78"/>
        <v>14926</v>
      </c>
      <c r="CL119" s="134">
        <f>CK119*$C$57</f>
        <v>0</v>
      </c>
      <c r="CM119" s="142">
        <f t="shared" si="79"/>
        <v>58596</v>
      </c>
      <c r="CN119" s="134">
        <f>CM119*$C$57</f>
        <v>0</v>
      </c>
      <c r="CO119" s="132">
        <f t="shared" si="117"/>
        <v>47152.340576604307</v>
      </c>
      <c r="CP119" s="140">
        <f t="shared" si="134"/>
        <v>0.37283126411240608</v>
      </c>
      <c r="CQ119" s="121" t="str">
        <f>IF($C$50="NEIN","NEIN",IF(CS119&lt;CR119,"JA","NEIN"))</f>
        <v>NEIN</v>
      </c>
      <c r="CR119" s="121">
        <f>CO119*$C$46</f>
        <v>12436.429827079386</v>
      </c>
      <c r="CS119" s="121">
        <f t="shared" si="135"/>
        <v>10806.745820964121</v>
      </c>
      <c r="CT119" s="201">
        <f>IF($C$50="NEIN",CR119,IF(CQ119="NEIN",CR119,CS119))</f>
        <v>12436.429827079386</v>
      </c>
      <c r="CU119" s="149"/>
      <c r="CV119" s="202">
        <f t="shared" si="80"/>
        <v>9984</v>
      </c>
      <c r="CW119" s="134">
        <f>CV119*$C$57</f>
        <v>0</v>
      </c>
      <c r="CX119" s="142">
        <f t="shared" si="81"/>
        <v>14926</v>
      </c>
      <c r="CY119" s="134">
        <f>CX119*$C$57</f>
        <v>0</v>
      </c>
      <c r="CZ119" s="142">
        <f t="shared" si="82"/>
        <v>58596</v>
      </c>
      <c r="DA119" s="143">
        <f>CZ119*$C$57</f>
        <v>0</v>
      </c>
      <c r="DB119" s="165">
        <f t="shared" si="120"/>
        <v>47152.340576604307</v>
      </c>
      <c r="DC119" s="140">
        <f t="shared" si="136"/>
        <v>0.37283126411240608</v>
      </c>
      <c r="DD119" s="121" t="str">
        <f>IF($C$50="NEIN","NEIN",IF(DF119&lt;DE119,"JA","NEIN"))</f>
        <v>NEIN</v>
      </c>
      <c r="DE119" s="121">
        <f>DB119*$C$46</f>
        <v>12436.429827079386</v>
      </c>
      <c r="DF119" s="121">
        <f t="shared" si="137"/>
        <v>10806.745820964121</v>
      </c>
      <c r="DG119" s="201">
        <f>IF($C$50="NEIN",DE119,IF(DD119="NEIN",DE119,DF119))</f>
        <v>12436.429827079386</v>
      </c>
      <c r="DH119" s="159"/>
      <c r="DI119" s="74"/>
      <c r="DJ119" s="74"/>
      <c r="DK119" s="128"/>
      <c r="DL119" s="128"/>
      <c r="DM119" s="128"/>
      <c r="DN119" s="74"/>
      <c r="DO119" s="28">
        <f t="shared" si="83"/>
        <v>2060</v>
      </c>
      <c r="DP119" s="17">
        <f>IF($C$13+$C$10&gt;=DO119,-AG119,IF(DO119=$C$13+$C$10+1,$EK$93,0))</f>
        <v>0</v>
      </c>
      <c r="DQ119" s="17">
        <f t="shared" si="84"/>
        <v>1191565.4000730049</v>
      </c>
      <c r="DR119" s="17">
        <f t="shared" si="85"/>
        <v>3233631.7501463783</v>
      </c>
      <c r="DS119" s="17">
        <f t="shared" si="163"/>
        <v>54019.885959706189</v>
      </c>
      <c r="DT119" s="17">
        <f t="shared" si="138"/>
        <v>3517787.2506335108</v>
      </c>
      <c r="DU119" s="17">
        <f t="shared" si="86"/>
        <v>230135.61452742619</v>
      </c>
      <c r="DV119" s="33">
        <f t="shared" si="139"/>
        <v>1610.9493016919814</v>
      </c>
      <c r="DW119" s="32">
        <f t="shared" si="140"/>
        <v>70355.745012670217</v>
      </c>
      <c r="DX119" s="17">
        <f t="shared" si="87"/>
        <v>0</v>
      </c>
      <c r="DY119" s="17">
        <f t="shared" si="88"/>
        <v>0</v>
      </c>
      <c r="DZ119" s="17">
        <f t="shared" si="141"/>
        <v>0</v>
      </c>
      <c r="EA119" s="17">
        <f t="shared" si="164"/>
        <v>12778.165672964236</v>
      </c>
      <c r="EB119" s="15">
        <f t="shared" si="165"/>
        <v>57577.579339705982</v>
      </c>
      <c r="EC119" s="15">
        <f>IF(DP119=0,EC118,IF(DO119&lt;=$EK$88+$C$10,ABS(DP119)+EC118,EC118))</f>
        <v>430891.77838569693</v>
      </c>
      <c r="ED119" s="15">
        <f t="shared" si="89"/>
        <v>175072.55738293729</v>
      </c>
      <c r="EE119" s="16">
        <f t="shared" si="90"/>
        <v>3517787.2506335108</v>
      </c>
      <c r="EF119" s="15">
        <f t="shared" si="142"/>
        <v>54019.885959706189</v>
      </c>
      <c r="EG119" s="15">
        <f t="shared" si="91"/>
        <v>760673.62168730819</v>
      </c>
      <c r="EH119" s="16"/>
      <c r="EI119" s="16"/>
      <c r="EJ119"/>
      <c r="EK119"/>
      <c r="EL119"/>
      <c r="EM119" s="28">
        <f t="shared" si="92"/>
        <v>2060</v>
      </c>
      <c r="EN119" s="29">
        <f>IF($C$13+$C$10&gt;=EM119,-(AG119),IF(EM119=$C$13+$C$10+1,$FB$93,0))</f>
        <v>0</v>
      </c>
      <c r="EO119" s="30">
        <f t="shared" si="93"/>
        <v>430891.77838569693</v>
      </c>
      <c r="EP119" s="30">
        <f t="shared" si="94"/>
        <v>3667881.7300403873</v>
      </c>
      <c r="EQ119" s="30">
        <f t="shared" si="166"/>
        <v>0</v>
      </c>
      <c r="ER119" s="25">
        <f t="shared" si="143"/>
        <v>3924633.4511432145</v>
      </c>
      <c r="ES119" s="30">
        <f t="shared" si="95"/>
        <v>256751.72110282723</v>
      </c>
      <c r="ET119" s="26">
        <f t="shared" si="144"/>
        <v>1797.2620477197895</v>
      </c>
      <c r="EU119" s="30">
        <f t="shared" si="96"/>
        <v>1797.2620477197895</v>
      </c>
      <c r="EV119" s="25">
        <f t="shared" si="145"/>
        <v>0</v>
      </c>
      <c r="EW119" s="31">
        <f t="shared" si="97"/>
        <v>24456.191709302599</v>
      </c>
      <c r="EX119" s="27">
        <f>IF(EM119=0,EX118,IF(EM119&lt;=$FB$88+$C$10,ABS(EN119)+EX118,EX118))</f>
        <v>430891.77838569693</v>
      </c>
      <c r="EY119" s="15"/>
      <c r="EZ119"/>
      <c r="FA119"/>
      <c r="FB119"/>
      <c r="FC119" s="74"/>
      <c r="FD119" s="74"/>
      <c r="FE119" s="74"/>
      <c r="FF119" s="74"/>
      <c r="FG119" s="74"/>
      <c r="FH119" s="74"/>
      <c r="FI119" s="74"/>
      <c r="FJ119" s="28">
        <f t="shared" si="98"/>
        <v>2060</v>
      </c>
      <c r="FK119" s="65">
        <f>IF($C$13+$C$10&gt;=FJ119,-AG119,IF(FJ119=$C$13+$C$10+1,$EK$93,0))</f>
        <v>0</v>
      </c>
      <c r="FL119" s="65">
        <f t="shared" si="99"/>
        <v>74118.803999999975</v>
      </c>
      <c r="FM119" s="65">
        <f t="shared" si="100"/>
        <v>449813.5584790397</v>
      </c>
      <c r="FN119" s="65">
        <f t="shared" si="167"/>
        <v>0</v>
      </c>
      <c r="FO119" s="65">
        <f t="shared" si="146"/>
        <v>481300.5075725725</v>
      </c>
      <c r="FP119" s="65">
        <f t="shared" si="101"/>
        <v>31486.949093532807</v>
      </c>
      <c r="FQ119" s="59">
        <f t="shared" si="147"/>
        <v>220.40864365472945</v>
      </c>
      <c r="FR119" s="60">
        <f t="shared" si="148"/>
        <v>9626.0101514514499</v>
      </c>
      <c r="FS119" s="65">
        <f t="shared" si="102"/>
        <v>0</v>
      </c>
      <c r="FT119" s="65">
        <f t="shared" si="103"/>
        <v>0</v>
      </c>
      <c r="FU119" s="65">
        <f t="shared" si="149"/>
        <v>0</v>
      </c>
      <c r="FV119" s="65">
        <f t="shared" si="168"/>
        <v>1565.9383742117236</v>
      </c>
      <c r="FW119" s="61">
        <f t="shared" si="169"/>
        <v>8060.0717772397265</v>
      </c>
      <c r="FX119" s="61">
        <f>IF(AND(FJ119&lt;=$GF$88+$C$10,FV118&lt;=0,FN119&gt;0),(FJ119-$C$10+1)*AG119+$GF$80,FX118)</f>
        <v>73074.599999999977</v>
      </c>
      <c r="FY119" s="62">
        <f t="shared" si="170"/>
        <v>7.412243578047458</v>
      </c>
      <c r="FZ119" s="63">
        <f t="shared" si="104"/>
        <v>481300.5075725725</v>
      </c>
      <c r="GA119" s="64">
        <f t="shared" si="105"/>
        <v>9179.8685403885665</v>
      </c>
      <c r="GB119" s="64">
        <f t="shared" si="106"/>
        <v>165429.37748665511</v>
      </c>
      <c r="GC119" s="66">
        <f t="shared" si="150"/>
        <v>0</v>
      </c>
      <c r="GD119" s="64">
        <f t="shared" si="107"/>
        <v>1580.6039999999994</v>
      </c>
      <c r="GE119"/>
      <c r="GF119"/>
      <c r="GG119" s="74"/>
      <c r="GH119" s="74"/>
      <c r="GI119" s="28">
        <f t="shared" si="108"/>
        <v>2060</v>
      </c>
      <c r="GJ119" s="9">
        <f>IF($GX$88+$C$10&gt;=GI119,-AG119,IF(GI119=$GX$88+$C$10+1,$FB$93,0))</f>
        <v>0</v>
      </c>
      <c r="GK119" s="5">
        <f t="shared" si="109"/>
        <v>496336.61119484436</v>
      </c>
      <c r="GL119" s="5">
        <f t="shared" si="110"/>
        <v>3144419.9470842076</v>
      </c>
      <c r="GM119" s="35">
        <f t="shared" si="171"/>
        <v>7430.444966691377</v>
      </c>
      <c r="GN119" s="4">
        <f t="shared" si="151"/>
        <v>3372479.9194944622</v>
      </c>
      <c r="GO119" s="5">
        <f t="shared" si="111"/>
        <v>220629.5274435631</v>
      </c>
      <c r="GP119" s="5">
        <f t="shared" si="152"/>
        <v>1544.4066921049405</v>
      </c>
      <c r="GQ119" s="5">
        <f t="shared" si="112"/>
        <v>1544.4066921049405</v>
      </c>
      <c r="GR119" s="4">
        <f t="shared" si="153"/>
        <v>285.13608552987461</v>
      </c>
      <c r="GS119" s="7">
        <f t="shared" si="113"/>
        <v>20133.003158097305</v>
      </c>
      <c r="GT119" s="107" t="e">
        <f>IF($DG$62=0,EX119,IF(GI119-$C$10+1&lt;=$GF$98,0,#REF!-FX119))</f>
        <v>#REF!</v>
      </c>
      <c r="GU119"/>
      <c r="GV119"/>
      <c r="GW119"/>
      <c r="GX119"/>
      <c r="GY119" s="74"/>
      <c r="GZ119" s="74"/>
      <c r="HA119" s="74"/>
      <c r="HB119" s="74"/>
      <c r="HC119" s="74"/>
      <c r="HD119" s="74"/>
    </row>
    <row r="120" spans="2:212" ht="16.149999999999999" thickBot="1" x14ac:dyDescent="0.55000000000000004">
      <c r="B120" s="333"/>
      <c r="C120" s="75"/>
      <c r="D120" s="75"/>
      <c r="F120" s="75"/>
      <c r="G120" s="75"/>
      <c r="H120" s="75"/>
      <c r="I120" s="75"/>
      <c r="J120" s="75"/>
      <c r="K120" s="75"/>
      <c r="L120" s="75"/>
      <c r="M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AB120" s="117" t="str">
        <f t="shared" si="34"/>
        <v/>
      </c>
      <c r="AC120" s="117" t="str">
        <f t="shared" si="35"/>
        <v/>
      </c>
      <c r="AD120" s="299">
        <f>IF($C$20="NEIN",$C$21,IF($C$22="JA",'HISTORISCHE RENDITEN'!E44,'HISTORISCHE RENDITEN'!D44))</f>
        <v>-0.10439999999999999</v>
      </c>
      <c r="AE120" s="129">
        <f t="shared" si="172"/>
        <v>68</v>
      </c>
      <c r="AF120" s="120">
        <f t="shared" si="154"/>
        <v>2061</v>
      </c>
      <c r="AG120" s="122">
        <f t="shared" si="123"/>
        <v>0</v>
      </c>
      <c r="AH120" s="124">
        <f t="shared" si="155"/>
        <v>430891.77838569693</v>
      </c>
      <c r="AI120" s="296">
        <f t="shared" si="114"/>
        <v>1229487.2786033878</v>
      </c>
      <c r="AJ120" s="123">
        <f t="shared" si="67"/>
        <v>0</v>
      </c>
      <c r="AK120" s="124">
        <f t="shared" si="156"/>
        <v>1101128.8067171939</v>
      </c>
      <c r="AL120" s="122">
        <f t="shared" si="124"/>
        <v>-128358.47188619385</v>
      </c>
      <c r="AM120" s="122" t="b">
        <f>IF($C$25="Ausschütter",0,IF(AL120&gt;=0,(AI120+AJ120)*$C$48*0.7))</f>
        <v>0</v>
      </c>
      <c r="AN120" s="122">
        <f t="shared" si="125"/>
        <v>0</v>
      </c>
      <c r="AO120" s="122">
        <f t="shared" si="39"/>
        <v>0</v>
      </c>
      <c r="AP120" s="122">
        <f t="shared" si="69"/>
        <v>13631.869908406628</v>
      </c>
      <c r="AQ120" s="122">
        <f>IF($C$25="AUSSCHÜTTER",0,IF(AO120*$C$46*$C$49&lt;=$C$47,0,AO120*$C$46*$C$49))</f>
        <v>0</v>
      </c>
      <c r="AR120" s="122">
        <f>IF(AO119*$C$49&gt;$C$47,(AN120)*$C$49*$C$46,IF((AO119+AN120)*$C$49&gt;$C$47,((AO119+AN120)*$C$49-$C$47)*$C$46,0))</f>
        <v>0</v>
      </c>
      <c r="AS120" s="122">
        <f t="shared" si="70"/>
        <v>0</v>
      </c>
      <c r="AT120" s="122">
        <f t="shared" si="157"/>
        <v>430891.77838569693</v>
      </c>
      <c r="AU120" s="122">
        <f t="shared" si="115"/>
        <v>0</v>
      </c>
      <c r="AV120" s="122">
        <f t="shared" si="71"/>
        <v>1101128.8067171939</v>
      </c>
      <c r="AW120" s="122">
        <f t="shared" si="158"/>
        <v>0</v>
      </c>
      <c r="AX120" s="130">
        <f t="shared" si="159"/>
        <v>0</v>
      </c>
      <c r="AY120" s="82">
        <f>IF(AF120&lt;$C$11,$C$15*(1+$C$19)^(AF120-$C$10),0)</f>
        <v>0</v>
      </c>
      <c r="AZ120" s="82">
        <f>$C$14*(1+$C$37)^(AF120-$C$10)</f>
        <v>48331.149091019412</v>
      </c>
      <c r="BA120" s="165">
        <f>IF(AF120&lt;$C$11,0,MAX($C$38*AI120,AZ120))</f>
        <v>48331.149091019412</v>
      </c>
      <c r="BB120" s="82">
        <f>IF(AF120&lt;$C$11,0,MAX($C$38*AI120,AZ120))</f>
        <v>48331.149091019412</v>
      </c>
      <c r="BC120" s="136">
        <f>IF($C$39="JA",CT120,DG120)</f>
        <v>12747.34057275637</v>
      </c>
      <c r="BD120" s="82">
        <f t="shared" si="126"/>
        <v>0</v>
      </c>
      <c r="BE120" s="82">
        <f>IF(AF120&lt;($C$8+$C$30),0,$C$29*12*(1-$C$31))</f>
        <v>0</v>
      </c>
      <c r="BF120" s="82">
        <f>IF(AF120&lt;($C$8+$C$34),0,$C$33*12*(1-$C$35))</f>
        <v>0</v>
      </c>
      <c r="BG120" s="82">
        <f>IF(AF120&lt;$C$11,0,IF(AI120&lt;0,$C$42*(1+$C$44)^(AF120-$C$10),IF(((AL120+BE120+BF120)*$C$41)&lt;$C$42*(1+$C$44)^(AF120-$C$10),$C$42*(1+$C$44)^(AF120-$C$10),IF(((AL120+BE120+BF120)*$C$41)&lt;$C$43*(1+$C$44)^(AF120-$C$10),(AL120+BE120+BF120)*$C$41,IF(((AL120+BE120+BF120+BB120)*$C$41)&lt;$C$43*(1+$C$44)^(AF120-$C$10),((AL120+BE120+BF120+BB120)*$C$41),$C$43*(1+$C$44)^(AF120-$C$10))))))</f>
        <v>4353.6441808054597</v>
      </c>
      <c r="BH120" s="82">
        <f t="shared" si="72"/>
        <v>65432.133844581243</v>
      </c>
      <c r="BI120" s="242">
        <f t="shared" si="73"/>
        <v>1101128.8067171939</v>
      </c>
      <c r="BJ120" s="217">
        <f t="shared" si="74"/>
        <v>1035696.6728726127</v>
      </c>
      <c r="BK120" s="118"/>
      <c r="BL120" s="219">
        <f t="shared" si="127"/>
        <v>24</v>
      </c>
      <c r="BM120" s="220">
        <f t="shared" si="128"/>
        <v>41</v>
      </c>
      <c r="BN120" s="220">
        <f t="shared" si="121"/>
        <v>0</v>
      </c>
      <c r="BO120" s="221">
        <f t="shared" si="129"/>
        <v>0</v>
      </c>
      <c r="BP120" s="221">
        <f t="shared" si="130"/>
        <v>0</v>
      </c>
      <c r="BQ120" s="222">
        <f t="shared" si="9"/>
        <v>0</v>
      </c>
      <c r="BR120" s="223">
        <f>IF(BM120&lt;$C$11-$C$10+1,0,IF(BL120&lt;=$C$13,VLOOKUP(BL120,$BN$80:$BQ$156,2,FALSE)-BS120,0))</f>
        <v>0</v>
      </c>
      <c r="BS120" s="223">
        <f>IF(BM120&lt;$C$11-$C$10+1,0,IF(BL120&lt;=$C$13,VLOOKUP(BL120,$BN$80:$BQ$156,3,FALSE),0))</f>
        <v>0</v>
      </c>
      <c r="BT120" s="222">
        <f>IF(BM120&lt;$C$11-$C$10+1,0,IF(BL120&lt;=$C$13,VLOOKUP(BL120,$BN$80:$BQ$156,4,FALSE),0))</f>
        <v>0</v>
      </c>
      <c r="BU120" s="223">
        <f t="shared" si="160"/>
        <v>0</v>
      </c>
      <c r="BV120" s="223">
        <f t="shared" si="161"/>
        <v>0</v>
      </c>
      <c r="BW120" s="223">
        <f t="shared" si="118"/>
        <v>0</v>
      </c>
      <c r="BX120" s="223">
        <f>IF(AND(BS120&lt;=0,BN120=0),MIN((MAX($BZ$80:$BZ$156)-SUM($BX$80:BX119)),CA120),IF(BS120&lt;CA120,BS120,CA120))</f>
        <v>0</v>
      </c>
      <c r="BY120" s="222">
        <f>IF(BN120&gt;0,0,IF(AND(BN120=0,BT120&lt;=0),100%,((BW119*(AVERAGE($BT$80:BT119))+(BR120*BT120))/(BR120+BW119+BS120+BV119))))</f>
        <v>1</v>
      </c>
      <c r="BZ120" s="139">
        <f t="shared" si="162"/>
        <v>430891.77838569693</v>
      </c>
      <c r="CA120" s="122">
        <f t="shared" si="131"/>
        <v>48331.149091019412</v>
      </c>
      <c r="CB120" s="181">
        <f t="shared" si="47"/>
        <v>1</v>
      </c>
      <c r="CC120" s="122">
        <f t="shared" si="48"/>
        <v>1073819.6621544247</v>
      </c>
      <c r="CD120" s="182">
        <f t="shared" si="119"/>
        <v>0</v>
      </c>
      <c r="CE120" s="122">
        <f t="shared" si="75"/>
        <v>430891.77838569693</v>
      </c>
      <c r="CF120" s="122">
        <f t="shared" si="76"/>
        <v>0</v>
      </c>
      <c r="CG120" s="122" t="str">
        <f t="shared" si="132"/>
        <v/>
      </c>
      <c r="CH120" s="140">
        <f t="shared" si="133"/>
        <v>1</v>
      </c>
      <c r="CI120" s="142">
        <f t="shared" si="77"/>
        <v>9984</v>
      </c>
      <c r="CJ120" s="134">
        <f>CI120*$C$57</f>
        <v>0</v>
      </c>
      <c r="CK120" s="142">
        <f t="shared" si="78"/>
        <v>14926</v>
      </c>
      <c r="CL120" s="134">
        <f>CK120*$C$57</f>
        <v>0</v>
      </c>
      <c r="CM120" s="142">
        <f t="shared" si="79"/>
        <v>58596</v>
      </c>
      <c r="CN120" s="134">
        <f>CM120*$C$57</f>
        <v>0</v>
      </c>
      <c r="CO120" s="132">
        <f t="shared" si="117"/>
        <v>48331.149091019412</v>
      </c>
      <c r="CP120" s="140">
        <f t="shared" si="134"/>
        <v>0.37769010387871521</v>
      </c>
      <c r="CQ120" s="121" t="str">
        <f>IF($C$50="NEIN","NEIN",IF(CS120&lt;CR120,"JA","NEIN"))</f>
        <v>NEIN</v>
      </c>
      <c r="CR120" s="121">
        <f>CO120*$C$46</f>
        <v>12747.34057275637</v>
      </c>
      <c r="CS120" s="121">
        <f t="shared" si="135"/>
        <v>11249.014834990327</v>
      </c>
      <c r="CT120" s="201">
        <f>IF($C$50="NEIN",CR120,IF(CQ120="NEIN",CR120,CS120))</f>
        <v>12747.34057275637</v>
      </c>
      <c r="CU120" s="149"/>
      <c r="CV120" s="202">
        <f t="shared" si="80"/>
        <v>9984</v>
      </c>
      <c r="CW120" s="134">
        <f>CV120*$C$57</f>
        <v>0</v>
      </c>
      <c r="CX120" s="142">
        <f t="shared" si="81"/>
        <v>14926</v>
      </c>
      <c r="CY120" s="134">
        <f>CX120*$C$57</f>
        <v>0</v>
      </c>
      <c r="CZ120" s="142">
        <f t="shared" si="82"/>
        <v>58596</v>
      </c>
      <c r="DA120" s="143">
        <f>CZ120*$C$57</f>
        <v>0</v>
      </c>
      <c r="DB120" s="165">
        <f t="shared" si="120"/>
        <v>48331.149091019412</v>
      </c>
      <c r="DC120" s="140">
        <f t="shared" si="136"/>
        <v>0.37769010387871521</v>
      </c>
      <c r="DD120" s="121" t="str">
        <f>IF($C$50="NEIN","NEIN",IF(DF120&lt;DE120,"JA","NEIN"))</f>
        <v>NEIN</v>
      </c>
      <c r="DE120" s="121">
        <f>DB120*$C$46</f>
        <v>12747.34057275637</v>
      </c>
      <c r="DF120" s="121">
        <f t="shared" si="137"/>
        <v>11249.014834990327</v>
      </c>
      <c r="DG120" s="201">
        <f>IF($C$50="NEIN",DE120,IF(DD120="NEIN",DE120,DF120))</f>
        <v>12747.34057275637</v>
      </c>
      <c r="DH120" s="159"/>
      <c r="DI120" s="74"/>
      <c r="DJ120" s="74"/>
      <c r="DK120" s="128"/>
      <c r="DL120" s="128"/>
      <c r="DM120" s="128"/>
      <c r="DN120" s="74"/>
      <c r="DO120" s="28">
        <f t="shared" si="83"/>
        <v>2061</v>
      </c>
      <c r="DP120" s="17">
        <f>IF($C$13+$C$10&gt;=DO120,-AG120,IF(DO120=$C$13+$C$10+1,$EK$93,0))</f>
        <v>0</v>
      </c>
      <c r="DQ120" s="17">
        <f t="shared" si="84"/>
        <v>1249142.9794127108</v>
      </c>
      <c r="DR120" s="17">
        <f t="shared" si="85"/>
        <v>3447431.5056208405</v>
      </c>
      <c r="DS120" s="17">
        <f t="shared" si="163"/>
        <v>57577.579339705982</v>
      </c>
      <c r="DT120" s="17">
        <f t="shared" si="138"/>
        <v>3750359.720907785</v>
      </c>
      <c r="DU120" s="17">
        <f t="shared" si="86"/>
        <v>245350.63594723865</v>
      </c>
      <c r="DV120" s="33">
        <f t="shared" si="139"/>
        <v>1717.4544516306676</v>
      </c>
      <c r="DW120" s="32">
        <f t="shared" si="140"/>
        <v>75007.194418155705</v>
      </c>
      <c r="DX120" s="17">
        <f t="shared" si="87"/>
        <v>0</v>
      </c>
      <c r="DY120" s="17">
        <f t="shared" si="88"/>
        <v>0</v>
      </c>
      <c r="DZ120" s="17">
        <f t="shared" si="141"/>
        <v>0</v>
      </c>
      <c r="EA120" s="17">
        <f t="shared" si="164"/>
        <v>13636.939519451997</v>
      </c>
      <c r="EB120" s="15">
        <f t="shared" si="165"/>
        <v>61370.254898703708</v>
      </c>
      <c r="EC120" s="15">
        <f>IF(DP120=0,EC119,IF(DO120&lt;=$EK$88+$C$10,ABS(DP120)+EC119,EC119))</f>
        <v>430891.77838569693</v>
      </c>
      <c r="ED120" s="15">
        <f t="shared" si="89"/>
        <v>188709.49690238928</v>
      </c>
      <c r="EE120" s="16">
        <f t="shared" si="90"/>
        <v>3750359.720907785</v>
      </c>
      <c r="EF120" s="15">
        <f t="shared" si="142"/>
        <v>57577.579339705982</v>
      </c>
      <c r="EG120" s="15">
        <f t="shared" si="91"/>
        <v>818251.20102701418</v>
      </c>
      <c r="EH120" s="16"/>
      <c r="EI120" s="16"/>
      <c r="EJ120"/>
      <c r="EK120"/>
      <c r="EL120"/>
      <c r="EM120" s="28">
        <f t="shared" si="92"/>
        <v>2061</v>
      </c>
      <c r="EN120" s="29">
        <f>IF($C$13+$C$10&gt;=EM120,-(AG120),IF(EM120=$C$13+$C$10+1,$FB$93,0))</f>
        <v>0</v>
      </c>
      <c r="EO120" s="30">
        <f t="shared" si="93"/>
        <v>430891.77838569693</v>
      </c>
      <c r="EP120" s="30">
        <f t="shared" si="94"/>
        <v>3924633.4511432145</v>
      </c>
      <c r="EQ120" s="30">
        <f t="shared" si="166"/>
        <v>0</v>
      </c>
      <c r="ER120" s="25">
        <f t="shared" si="143"/>
        <v>4199357.7927232394</v>
      </c>
      <c r="ES120" s="30">
        <f t="shared" si="95"/>
        <v>274724.34158002492</v>
      </c>
      <c r="ET120" s="26">
        <f t="shared" si="144"/>
        <v>1923.0703910601751</v>
      </c>
      <c r="EU120" s="30">
        <f t="shared" si="96"/>
        <v>1923.0703910601751</v>
      </c>
      <c r="EV120" s="25">
        <f t="shared" si="145"/>
        <v>0</v>
      </c>
      <c r="EW120" s="31">
        <f t="shared" si="97"/>
        <v>26379.262100362772</v>
      </c>
      <c r="EX120" s="27">
        <f>IF(EM120=0,EX119,IF(EM120&lt;=$FB$88+$C$10,ABS(EN120)+EX119,EX119))</f>
        <v>430891.77838569693</v>
      </c>
      <c r="EY120" s="15"/>
      <c r="EZ120"/>
      <c r="FA120"/>
      <c r="FB120"/>
      <c r="FC120" s="74"/>
      <c r="FD120" s="74"/>
      <c r="FE120" s="74"/>
      <c r="FF120" s="74"/>
      <c r="FG120" s="74"/>
      <c r="FH120" s="74"/>
      <c r="FI120" s="74"/>
      <c r="FJ120" s="28">
        <f t="shared" si="98"/>
        <v>2061</v>
      </c>
      <c r="FK120" s="65">
        <f>IF($C$13+$C$10&gt;=FJ120,-AG120,IF(FJ120=$C$13+$C$10+1,$EK$93,0))</f>
        <v>0</v>
      </c>
      <c r="FL120" s="65">
        <f t="shared" si="99"/>
        <v>74118.803999999975</v>
      </c>
      <c r="FM120" s="65">
        <f t="shared" si="100"/>
        <v>471674.49742112105</v>
      </c>
      <c r="FN120" s="65">
        <f t="shared" si="167"/>
        <v>0</v>
      </c>
      <c r="FO120" s="65">
        <f t="shared" si="146"/>
        <v>504691.71224059956</v>
      </c>
      <c r="FP120" s="65">
        <f t="shared" si="101"/>
        <v>33017.214819478511</v>
      </c>
      <c r="FQ120" s="59">
        <f t="shared" si="147"/>
        <v>231.12050373634929</v>
      </c>
      <c r="FR120" s="60">
        <f t="shared" si="148"/>
        <v>10093.834244811991</v>
      </c>
      <c r="FS120" s="65">
        <f t="shared" si="102"/>
        <v>0</v>
      </c>
      <c r="FT120" s="65">
        <f t="shared" si="103"/>
        <v>0</v>
      </c>
      <c r="FU120" s="65">
        <f t="shared" si="149"/>
        <v>0</v>
      </c>
      <c r="FV120" s="65">
        <f t="shared" si="168"/>
        <v>1652.3103974484136</v>
      </c>
      <c r="FW120" s="61">
        <f t="shared" si="169"/>
        <v>8441.5238473635782</v>
      </c>
      <c r="FX120" s="61">
        <f>IF(AND(FJ120&lt;=$GF$88+$C$10,FV119&lt;=0,FN120&gt;0),(FJ120-$C$10+1)*AG120+$GF$80,FX119)</f>
        <v>73074.599999999977</v>
      </c>
      <c r="FY120" s="62">
        <f t="shared" si="170"/>
        <v>7.8210786159405652</v>
      </c>
      <c r="FZ120" s="63">
        <f t="shared" si="104"/>
        <v>504691.71224059956</v>
      </c>
      <c r="GA120" s="64">
        <f t="shared" si="105"/>
        <v>9626.0101514514499</v>
      </c>
      <c r="GB120" s="64">
        <f t="shared" si="106"/>
        <v>175055.38763810656</v>
      </c>
      <c r="GC120" s="66">
        <f t="shared" si="150"/>
        <v>0</v>
      </c>
      <c r="GD120" s="64">
        <f t="shared" si="107"/>
        <v>1580.6039999999994</v>
      </c>
      <c r="GE120"/>
      <c r="GF120"/>
      <c r="GG120" s="74"/>
      <c r="GH120" s="74"/>
      <c r="GI120" s="28">
        <f t="shared" si="108"/>
        <v>2061</v>
      </c>
      <c r="GJ120" s="9">
        <f>IF($GX$88+$C$10&gt;=GI120,-AG120,IF(GI120=$GX$88+$C$10+1,$FB$93,0))</f>
        <v>0</v>
      </c>
      <c r="GK120" s="5">
        <f t="shared" si="109"/>
        <v>504111.54688655422</v>
      </c>
      <c r="GL120" s="5">
        <f t="shared" si="110"/>
        <v>3372479.9194944622</v>
      </c>
      <c r="GM120" s="35">
        <f t="shared" si="171"/>
        <v>7774.9356917098521</v>
      </c>
      <c r="GN120" s="4">
        <f t="shared" si="151"/>
        <v>3616872.6950492039</v>
      </c>
      <c r="GO120" s="5">
        <f t="shared" si="111"/>
        <v>236617.8398630321</v>
      </c>
      <c r="GP120" s="5">
        <f t="shared" si="152"/>
        <v>1656.3248790412242</v>
      </c>
      <c r="GQ120" s="5">
        <f t="shared" si="112"/>
        <v>1656.3248790412242</v>
      </c>
      <c r="GR120" s="4">
        <f t="shared" si="153"/>
        <v>305.79898079298596</v>
      </c>
      <c r="GS120" s="7">
        <f t="shared" si="113"/>
        <v>21789.32803713853</v>
      </c>
      <c r="GT120" s="107" t="e">
        <f>IF($DG$62=0,EX120,IF(GI120-$C$10+1&lt;=$GF$98,0,#REF!-FX120))</f>
        <v>#REF!</v>
      </c>
      <c r="GU120"/>
      <c r="GV120"/>
      <c r="GW120"/>
      <c r="GX120"/>
      <c r="GY120" s="74"/>
      <c r="GZ120" s="74"/>
      <c r="HA120" s="74"/>
      <c r="HB120" s="74"/>
      <c r="HC120" s="74"/>
      <c r="HD120" s="74"/>
    </row>
    <row r="121" spans="2:212" ht="16.149999999999999" thickBot="1" x14ac:dyDescent="0.55000000000000004">
      <c r="B121" s="333"/>
      <c r="C121" s="75"/>
      <c r="D121" s="75"/>
      <c r="F121" s="75"/>
      <c r="G121" s="75"/>
      <c r="H121" s="75"/>
      <c r="I121" s="75"/>
      <c r="J121" s="75"/>
      <c r="K121" s="75"/>
      <c r="L121" s="75"/>
      <c r="M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AB121" s="117" t="str">
        <f t="shared" si="34"/>
        <v/>
      </c>
      <c r="AC121" s="117" t="str">
        <f t="shared" si="35"/>
        <v/>
      </c>
      <c r="AD121" s="299">
        <f>IF($C$20="NEIN",$C$21,IF($C$22="JA",'HISTORISCHE RENDITEN'!E45,'HISTORISCHE RENDITEN'!D45))</f>
        <v>0.25190000000000001</v>
      </c>
      <c r="AE121" s="129">
        <f t="shared" si="172"/>
        <v>69</v>
      </c>
      <c r="AF121" s="120">
        <f t="shared" si="154"/>
        <v>2062</v>
      </c>
      <c r="AG121" s="122">
        <f t="shared" si="123"/>
        <v>0</v>
      </c>
      <c r="AH121" s="124">
        <f t="shared" si="155"/>
        <v>430891.77838569693</v>
      </c>
      <c r="AI121" s="296">
        <f t="shared" si="114"/>
        <v>1035696.6728726127</v>
      </c>
      <c r="AJ121" s="123">
        <f t="shared" si="67"/>
        <v>0</v>
      </c>
      <c r="AK121" s="124">
        <f t="shared" si="156"/>
        <v>1296588.6647692239</v>
      </c>
      <c r="AL121" s="122">
        <f t="shared" si="124"/>
        <v>260891.99189661117</v>
      </c>
      <c r="AM121" s="122">
        <f>IF($C$25="Ausschütter",0,IF(AL121&gt;=0,(AI121+AJ121)*$C$48*0.7))</f>
        <v>507.49136970758019</v>
      </c>
      <c r="AN121" s="122">
        <f t="shared" si="125"/>
        <v>0</v>
      </c>
      <c r="AO121" s="122">
        <f t="shared" si="39"/>
        <v>507.49136970758019</v>
      </c>
      <c r="AP121" s="122">
        <f t="shared" si="69"/>
        <v>14139.361278114209</v>
      </c>
      <c r="AQ121" s="122">
        <f>IF($C$25="AUSSCHÜTTER",0,IF(AO121*$C$46*$C$49&lt;=$C$47,0,AO121*$C$46*$C$49))</f>
        <v>0</v>
      </c>
      <c r="AR121" s="122">
        <f>IF(AO120*$C$49&gt;$C$47,(AN121)*$C$49*$C$46,IF((AO120+AN121)*$C$49&gt;$C$47,((AO120+AN121)*$C$49-$C$47)*$C$46,0))</f>
        <v>0</v>
      </c>
      <c r="AS121" s="122">
        <f t="shared" si="70"/>
        <v>0</v>
      </c>
      <c r="AT121" s="122">
        <f t="shared" si="157"/>
        <v>430891.77838569693</v>
      </c>
      <c r="AU121" s="122">
        <f t="shared" si="115"/>
        <v>0</v>
      </c>
      <c r="AV121" s="122">
        <f t="shared" si="71"/>
        <v>1296588.6647692239</v>
      </c>
      <c r="AW121" s="122">
        <f t="shared" si="158"/>
        <v>0</v>
      </c>
      <c r="AX121" s="130">
        <f t="shared" si="159"/>
        <v>0</v>
      </c>
      <c r="AY121" s="82">
        <f>IF(AF121&lt;$C$11,$C$15*(1+$C$19)^(AF121-$C$10),0)</f>
        <v>0</v>
      </c>
      <c r="AZ121" s="82">
        <f>$C$14*(1+$C$37)^(AF121-$C$10)</f>
        <v>49539.427818294891</v>
      </c>
      <c r="BA121" s="165">
        <f>IF(AF121&lt;$C$11,0,MAX($C$38*AI121,AZ121))</f>
        <v>49539.427818294891</v>
      </c>
      <c r="BB121" s="82">
        <f>IF(AF121&lt;$C$11,0,MAX($C$38*AI121,AZ121))</f>
        <v>49539.427818294891</v>
      </c>
      <c r="BC121" s="136">
        <f>IF($C$39="JA",CT121,DG121)</f>
        <v>13066.024087075277</v>
      </c>
      <c r="BD121" s="82">
        <f t="shared" si="126"/>
        <v>0</v>
      </c>
      <c r="BE121" s="82">
        <f>IF(AF121&lt;($C$8+$C$30),0,$C$29*12*(1-$C$31))</f>
        <v>0</v>
      </c>
      <c r="BF121" s="82">
        <f>IF(AF121&lt;($C$8+$C$34),0,$C$33*12*(1-$C$35))</f>
        <v>0</v>
      </c>
      <c r="BG121" s="82">
        <f>IF(AF121&lt;$C$11,0,IF(AI121&lt;0,$C$42*(1+$C$44)^(AF121-$C$10),IF(((AL121+BE121+BF121)*$C$41)&lt;$C$42*(1+$C$44)^(AF121-$C$10),$C$42*(1+$C$44)^(AF121-$C$10),IF(((AL121+BE121+BF121)*$C$41)&lt;$C$43*(1+$C$44)^(AF121-$C$10),(AL121+BE121+BF121)*$C$41,IF(((AL121+BE121+BF121+BB121)*$C$41)&lt;$C$43*(1+$C$44)^(AF121-$C$10),((AL121+BE121+BF121+BB121)*$C$41),$C$43*(1+$C$44)^(AF121-$C$10))))))</f>
        <v>19885.269795828935</v>
      </c>
      <c r="BH121" s="82">
        <f t="shared" si="72"/>
        <v>82490.721701199102</v>
      </c>
      <c r="BI121" s="242">
        <f t="shared" si="73"/>
        <v>1296588.6647692239</v>
      </c>
      <c r="BJ121" s="217">
        <f t="shared" si="74"/>
        <v>1214097.9430680247</v>
      </c>
      <c r="BK121" s="118"/>
      <c r="BL121" s="219">
        <f t="shared" si="127"/>
        <v>25</v>
      </c>
      <c r="BM121" s="220">
        <f t="shared" si="128"/>
        <v>42</v>
      </c>
      <c r="BN121" s="220">
        <f t="shared" si="121"/>
        <v>0</v>
      </c>
      <c r="BO121" s="221">
        <f t="shared" si="129"/>
        <v>0</v>
      </c>
      <c r="BP121" s="221">
        <f t="shared" si="130"/>
        <v>0</v>
      </c>
      <c r="BQ121" s="222">
        <f t="shared" si="9"/>
        <v>0</v>
      </c>
      <c r="BR121" s="223">
        <f>IF(BM121&lt;$C$11-$C$10+1,0,IF(BL121&lt;=$C$13,VLOOKUP(BL121,$BN$80:$BQ$156,2,FALSE)-BS121,0))</f>
        <v>0</v>
      </c>
      <c r="BS121" s="223">
        <f>IF(BM121&lt;$C$11-$C$10+1,0,IF(BL121&lt;=$C$13,VLOOKUP(BL121,$BN$80:$BQ$156,3,FALSE),0))</f>
        <v>0</v>
      </c>
      <c r="BT121" s="222">
        <f>IF(BM121&lt;$C$11-$C$10+1,0,IF(BL121&lt;=$C$13,VLOOKUP(BL121,$BN$80:$BQ$156,4,FALSE),0))</f>
        <v>0</v>
      </c>
      <c r="BU121" s="223">
        <f t="shared" si="160"/>
        <v>0</v>
      </c>
      <c r="BV121" s="223">
        <f t="shared" si="161"/>
        <v>0</v>
      </c>
      <c r="BW121" s="223">
        <f t="shared" si="118"/>
        <v>0</v>
      </c>
      <c r="BX121" s="223">
        <f>IF(AND(BS121&lt;=0,BN121=0),MIN((MAX($BZ$80:$BZ$156)-SUM($BX$80:BX120)),CA121),IF(BS121&lt;CA121,BS121,CA121))</f>
        <v>0</v>
      </c>
      <c r="BY121" s="222">
        <f>IF(BN121&gt;0,0,IF(AND(BN121=0,BT121&lt;=0),100%,((BW120*(AVERAGE($BT$80:BT120))+(BR121*BT121))/(BR121+BW120+BS121+BV120))))</f>
        <v>1</v>
      </c>
      <c r="BZ121" s="139">
        <f t="shared" si="162"/>
        <v>430891.77838569693</v>
      </c>
      <c r="CA121" s="122">
        <f t="shared" si="131"/>
        <v>49539.427818294891</v>
      </c>
      <c r="CB121" s="181">
        <f t="shared" si="47"/>
        <v>1</v>
      </c>
      <c r="CC121" s="122">
        <f t="shared" si="48"/>
        <v>1123359.0899727196</v>
      </c>
      <c r="CD121" s="182">
        <f t="shared" si="119"/>
        <v>0</v>
      </c>
      <c r="CE121" s="122">
        <f t="shared" si="75"/>
        <v>430891.77838569693</v>
      </c>
      <c r="CF121" s="122">
        <f t="shared" si="76"/>
        <v>0</v>
      </c>
      <c r="CG121" s="122" t="str">
        <f t="shared" si="132"/>
        <v/>
      </c>
      <c r="CH121" s="140">
        <f t="shared" si="133"/>
        <v>1</v>
      </c>
      <c r="CI121" s="142">
        <f t="shared" si="77"/>
        <v>9984</v>
      </c>
      <c r="CJ121" s="134">
        <f>CI121*$C$57</f>
        <v>0</v>
      </c>
      <c r="CK121" s="142">
        <f t="shared" si="78"/>
        <v>14926</v>
      </c>
      <c r="CL121" s="134">
        <f>CK121*$C$57</f>
        <v>0</v>
      </c>
      <c r="CM121" s="142">
        <f t="shared" si="79"/>
        <v>58596</v>
      </c>
      <c r="CN121" s="134">
        <f>CM121*$C$57</f>
        <v>0</v>
      </c>
      <c r="CO121" s="132">
        <f t="shared" si="117"/>
        <v>49539.427818294891</v>
      </c>
      <c r="CP121" s="140">
        <f t="shared" si="134"/>
        <v>0.38267041463918205</v>
      </c>
      <c r="CQ121" s="121" t="str">
        <f>IF($C$50="NEIN","NEIN",IF(CS121&lt;CR121,"JA","NEIN"))</f>
        <v>NEIN</v>
      </c>
      <c r="CR121" s="121">
        <f>CO121*$C$46</f>
        <v>13066.024087075277</v>
      </c>
      <c r="CS121" s="121">
        <f t="shared" si="135"/>
        <v>11708.294566186774</v>
      </c>
      <c r="CT121" s="201">
        <f>IF($C$50="NEIN",CR121,IF(CQ121="NEIN",CR121,CS121))</f>
        <v>13066.024087075277</v>
      </c>
      <c r="CU121" s="149"/>
      <c r="CV121" s="202">
        <f t="shared" si="80"/>
        <v>9984</v>
      </c>
      <c r="CW121" s="134">
        <f>CV121*$C$57</f>
        <v>0</v>
      </c>
      <c r="CX121" s="142">
        <f t="shared" si="81"/>
        <v>14926</v>
      </c>
      <c r="CY121" s="134">
        <f>CX121*$C$57</f>
        <v>0</v>
      </c>
      <c r="CZ121" s="142">
        <f t="shared" si="82"/>
        <v>58596</v>
      </c>
      <c r="DA121" s="143">
        <f>CZ121*$C$57</f>
        <v>0</v>
      </c>
      <c r="DB121" s="165">
        <f t="shared" si="120"/>
        <v>49539.427818294891</v>
      </c>
      <c r="DC121" s="140">
        <f t="shared" si="136"/>
        <v>0.38267041463918205</v>
      </c>
      <c r="DD121" s="121" t="str">
        <f>IF($C$50="NEIN","NEIN",IF(DF121&lt;DE121,"JA","NEIN"))</f>
        <v>NEIN</v>
      </c>
      <c r="DE121" s="121">
        <f>DB121*$C$46</f>
        <v>13066.024087075277</v>
      </c>
      <c r="DF121" s="121">
        <f t="shared" si="137"/>
        <v>11708.294566186774</v>
      </c>
      <c r="DG121" s="201">
        <f>IF($C$50="NEIN",DE121,IF(DD121="NEIN",DE121,DF121))</f>
        <v>13066.024087075277</v>
      </c>
      <c r="DH121" s="159"/>
      <c r="DI121" s="74"/>
      <c r="DJ121" s="74"/>
      <c r="DK121" s="128"/>
      <c r="DL121" s="128"/>
      <c r="DM121" s="128"/>
      <c r="DN121" s="74"/>
      <c r="DO121" s="28">
        <f t="shared" si="83"/>
        <v>2062</v>
      </c>
      <c r="DP121" s="17">
        <f>IF($C$13+$C$10&gt;=DO121,-AG121,IF(DO121=$C$13+$C$10+1,$EK$93,0))</f>
        <v>0</v>
      </c>
      <c r="DQ121" s="17">
        <f t="shared" si="84"/>
        <v>1310513.2343114144</v>
      </c>
      <c r="DR121" s="17">
        <f t="shared" si="85"/>
        <v>3675352.5264896294</v>
      </c>
      <c r="DS121" s="17">
        <f t="shared" si="163"/>
        <v>61370.254898703708</v>
      </c>
      <c r="DT121" s="17">
        <f t="shared" si="138"/>
        <v>3998293.3760855165</v>
      </c>
      <c r="DU121" s="17">
        <f t="shared" si="86"/>
        <v>261570.59469718346</v>
      </c>
      <c r="DV121" s="33">
        <f t="shared" si="139"/>
        <v>1830.9941628802833</v>
      </c>
      <c r="DW121" s="32">
        <f t="shared" si="140"/>
        <v>79965.86752171033</v>
      </c>
      <c r="DX121" s="17">
        <f t="shared" si="87"/>
        <v>0</v>
      </c>
      <c r="DY121" s="17">
        <f t="shared" si="88"/>
        <v>0</v>
      </c>
      <c r="DZ121" s="17">
        <f t="shared" si="141"/>
        <v>0</v>
      </c>
      <c r="EA121" s="17">
        <f t="shared" si="164"/>
        <v>14552.434541195767</v>
      </c>
      <c r="EB121" s="15">
        <f t="shared" si="165"/>
        <v>65413.432980514561</v>
      </c>
      <c r="EC121" s="15">
        <f>IF(DP121=0,EC120,IF(DO121&lt;=$EK$88+$C$10,ABS(DP121)+EC120,EC120))</f>
        <v>430891.77838569693</v>
      </c>
      <c r="ED121" s="15">
        <f t="shared" si="89"/>
        <v>203261.93144358505</v>
      </c>
      <c r="EE121" s="16">
        <f t="shared" si="90"/>
        <v>3998293.3760855165</v>
      </c>
      <c r="EF121" s="15">
        <f t="shared" si="142"/>
        <v>61370.254898703708</v>
      </c>
      <c r="EG121" s="15">
        <f t="shared" si="91"/>
        <v>879621.45592571783</v>
      </c>
      <c r="EH121" s="16"/>
      <c r="EI121" s="16"/>
      <c r="EJ121"/>
      <c r="EK121"/>
      <c r="EL121"/>
      <c r="EM121" s="28">
        <f t="shared" si="92"/>
        <v>2062</v>
      </c>
      <c r="EN121" s="29">
        <f>IF($C$13+$C$10&gt;=EM121,-(AG121),IF(EM121=$C$13+$C$10+1,$FB$93,0))</f>
        <v>0</v>
      </c>
      <c r="EO121" s="30">
        <f t="shared" si="93"/>
        <v>430891.77838569693</v>
      </c>
      <c r="EP121" s="30">
        <f t="shared" si="94"/>
        <v>4199357.7927232394</v>
      </c>
      <c r="EQ121" s="30">
        <f t="shared" si="166"/>
        <v>0</v>
      </c>
      <c r="ER121" s="25">
        <f t="shared" si="143"/>
        <v>4493312.8382138666</v>
      </c>
      <c r="ES121" s="30">
        <f t="shared" si="95"/>
        <v>293955.04549062718</v>
      </c>
      <c r="ET121" s="26">
        <f t="shared" si="144"/>
        <v>2057.6853184343872</v>
      </c>
      <c r="EU121" s="30">
        <f t="shared" si="96"/>
        <v>2057.6853184343872</v>
      </c>
      <c r="EV121" s="25">
        <f t="shared" si="145"/>
        <v>0</v>
      </c>
      <c r="EW121" s="31">
        <f t="shared" si="97"/>
        <v>28436.947418797157</v>
      </c>
      <c r="EX121" s="27">
        <f>IF(EM121=0,EX120,IF(EM121&lt;=$FB$88+$C$10,ABS(EN121)+EX120,EX120))</f>
        <v>430891.77838569693</v>
      </c>
      <c r="EY121" s="15"/>
      <c r="EZ121"/>
      <c r="FA121"/>
      <c r="FB121"/>
      <c r="FC121" s="74"/>
      <c r="FD121" s="74"/>
      <c r="FE121" s="74"/>
      <c r="FF121" s="74"/>
      <c r="FG121" s="74"/>
      <c r="FH121" s="74"/>
      <c r="FI121" s="74"/>
      <c r="FJ121" s="28">
        <f t="shared" si="98"/>
        <v>2062</v>
      </c>
      <c r="FK121" s="65">
        <f>IF($C$13+$C$10&gt;=FJ121,-AG121,IF(FJ121=$C$13+$C$10+1,$EK$93,0))</f>
        <v>0</v>
      </c>
      <c r="FL121" s="65">
        <f t="shared" si="99"/>
        <v>74118.803999999975</v>
      </c>
      <c r="FM121" s="65">
        <f t="shared" si="100"/>
        <v>494597.8779957876</v>
      </c>
      <c r="FN121" s="65">
        <f t="shared" si="167"/>
        <v>0</v>
      </c>
      <c r="FO121" s="65">
        <f t="shared" si="146"/>
        <v>529219.72945549281</v>
      </c>
      <c r="FP121" s="65">
        <f t="shared" si="101"/>
        <v>34621.851459705213</v>
      </c>
      <c r="FQ121" s="59">
        <f t="shared" si="147"/>
        <v>242.3529602179359</v>
      </c>
      <c r="FR121" s="60">
        <f t="shared" si="148"/>
        <v>10584.394589109856</v>
      </c>
      <c r="FS121" s="65">
        <f t="shared" si="102"/>
        <v>0</v>
      </c>
      <c r="FT121" s="65">
        <f t="shared" si="103"/>
        <v>0</v>
      </c>
      <c r="FU121" s="65">
        <f t="shared" si="149"/>
        <v>0</v>
      </c>
      <c r="FV121" s="65">
        <f t="shared" si="168"/>
        <v>1742.8801010144068</v>
      </c>
      <c r="FW121" s="61">
        <f t="shared" si="169"/>
        <v>8841.5144880954485</v>
      </c>
      <c r="FX121" s="61">
        <f>IF(AND(FJ121&lt;=$GF$88+$C$10,FV120&lt;=0,FN121&gt;0),(FJ121-$C$10+1)*AG121+$GF$80,FX120)</f>
        <v>73074.599999999977</v>
      </c>
      <c r="FY121" s="62">
        <f t="shared" si="170"/>
        <v>8.2497830366752787</v>
      </c>
      <c r="FZ121" s="63">
        <f t="shared" si="104"/>
        <v>529219.72945549281</v>
      </c>
      <c r="GA121" s="64">
        <f t="shared" si="105"/>
        <v>10093.834244811991</v>
      </c>
      <c r="GB121" s="64">
        <f t="shared" si="106"/>
        <v>185149.22188291856</v>
      </c>
      <c r="GC121" s="66">
        <f t="shared" si="150"/>
        <v>0</v>
      </c>
      <c r="GD121" s="64">
        <f t="shared" si="107"/>
        <v>1580.6039999999994</v>
      </c>
      <c r="GE121"/>
      <c r="GF121"/>
      <c r="GG121" s="74"/>
      <c r="GH121" s="74"/>
      <c r="GI121" s="28">
        <f t="shared" si="108"/>
        <v>2062</v>
      </c>
      <c r="GJ121" s="9">
        <f>IF($GX$88+$C$10&gt;=GI121,-AG121,IF(GI121=$GX$88+$C$10+1,$FB$93,0))</f>
        <v>0</v>
      </c>
      <c r="GK121" s="5">
        <f t="shared" si="109"/>
        <v>512247.27175312483</v>
      </c>
      <c r="GL121" s="5">
        <f t="shared" si="110"/>
        <v>3616872.6950492039</v>
      </c>
      <c r="GM121" s="35">
        <f t="shared" si="171"/>
        <v>8135.724866570592</v>
      </c>
      <c r="GN121" s="4">
        <f t="shared" si="151"/>
        <v>3878759.0093098786</v>
      </c>
      <c r="GO121" s="5">
        <f t="shared" si="111"/>
        <v>253750.5893941042</v>
      </c>
      <c r="GP121" s="5">
        <f t="shared" si="152"/>
        <v>1776.2541257587293</v>
      </c>
      <c r="GQ121" s="5">
        <f t="shared" si="112"/>
        <v>1776.2541257587293</v>
      </c>
      <c r="GR121" s="4">
        <f t="shared" si="153"/>
        <v>327.94091796820533</v>
      </c>
      <c r="GS121" s="7">
        <f t="shared" si="113"/>
        <v>23565.582162897259</v>
      </c>
      <c r="GT121" s="107" t="e">
        <f>IF($DG$62=0,EX121,IF(GI121-$C$10+1&lt;=$GF$98,0,#REF!-FX121))</f>
        <v>#REF!</v>
      </c>
      <c r="GU121"/>
      <c r="GV121"/>
      <c r="GW121"/>
      <c r="GX121"/>
      <c r="GY121" s="74"/>
      <c r="GZ121" s="74"/>
      <c r="HA121" s="74"/>
      <c r="HB121" s="74"/>
      <c r="HC121" s="74"/>
      <c r="HD121" s="74"/>
    </row>
    <row r="122" spans="2:212" ht="16.149999999999999" thickBot="1" x14ac:dyDescent="0.55000000000000004">
      <c r="B122" s="333"/>
      <c r="C122" s="75"/>
      <c r="D122" s="75"/>
      <c r="F122" s="75"/>
      <c r="G122" s="75"/>
      <c r="H122" s="75"/>
      <c r="I122" s="75"/>
      <c r="J122" s="75"/>
      <c r="K122" s="75"/>
      <c r="L122" s="75"/>
      <c r="M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AB122" s="117" t="str">
        <f t="shared" si="34"/>
        <v/>
      </c>
      <c r="AC122" s="117" t="str">
        <f t="shared" si="35"/>
        <v/>
      </c>
      <c r="AD122" s="299">
        <f>IF($C$20="NEIN",$C$21,IF($C$22="JA",'HISTORISCHE RENDITEN'!E46,'HISTORISCHE RENDITEN'!D46))</f>
        <v>0.1406</v>
      </c>
      <c r="AE122" s="129">
        <f t="shared" si="172"/>
        <v>70</v>
      </c>
      <c r="AF122" s="120">
        <f t="shared" si="154"/>
        <v>2063</v>
      </c>
      <c r="AG122" s="122">
        <f t="shared" si="123"/>
        <v>0</v>
      </c>
      <c r="AH122" s="124">
        <f t="shared" si="155"/>
        <v>430891.77838569693</v>
      </c>
      <c r="AI122" s="296">
        <f t="shared" si="114"/>
        <v>1214097.9430680247</v>
      </c>
      <c r="AJ122" s="123">
        <f t="shared" si="67"/>
        <v>0</v>
      </c>
      <c r="AK122" s="124">
        <f t="shared" si="156"/>
        <v>1384800.113863389</v>
      </c>
      <c r="AL122" s="122">
        <f t="shared" si="124"/>
        <v>170702.17079536431</v>
      </c>
      <c r="AM122" s="122">
        <f>IF($C$25="Ausschütter",0,IF(AL122&gt;=0,(AI122+AJ122)*$C$48*0.7))</f>
        <v>594.90799210333205</v>
      </c>
      <c r="AN122" s="122">
        <f t="shared" si="125"/>
        <v>0</v>
      </c>
      <c r="AO122" s="122">
        <f t="shared" si="39"/>
        <v>594.90799210333205</v>
      </c>
      <c r="AP122" s="122">
        <f t="shared" si="69"/>
        <v>14734.269270217541</v>
      </c>
      <c r="AQ122" s="122">
        <f>IF($C$25="AUSSCHÜTTER",0,IF(AO122*$C$46*$C$49&lt;=$C$47,0,AO122*$C$46*$C$49))</f>
        <v>0</v>
      </c>
      <c r="AR122" s="122">
        <f>IF(AO121*$C$49&gt;$C$47,(AN122)*$C$49*$C$46,IF((AO121+AN122)*$C$49&gt;$C$47,((AO121+AN122)*$C$49-$C$47)*$C$46,0))</f>
        <v>0</v>
      </c>
      <c r="AS122" s="122">
        <f t="shared" si="70"/>
        <v>0</v>
      </c>
      <c r="AT122" s="122">
        <f t="shared" si="157"/>
        <v>430891.77838569693</v>
      </c>
      <c r="AU122" s="122">
        <f t="shared" si="115"/>
        <v>0</v>
      </c>
      <c r="AV122" s="122">
        <f t="shared" si="71"/>
        <v>1384800.113863389</v>
      </c>
      <c r="AW122" s="122">
        <f t="shared" si="158"/>
        <v>0</v>
      </c>
      <c r="AX122" s="130">
        <f t="shared" si="159"/>
        <v>0</v>
      </c>
      <c r="AY122" s="82">
        <f>IF(AF122&lt;$C$11,$C$15*(1+$C$19)^(AF122-$C$10),0)</f>
        <v>0</v>
      </c>
      <c r="AZ122" s="82">
        <f>$C$14*(1+$C$37)^(AF122-$C$10)</f>
        <v>50777.913513752261</v>
      </c>
      <c r="BA122" s="165">
        <f>IF(AF122&lt;$C$11,0,MAX($C$38*AI122,AZ122))</f>
        <v>50777.913513752261</v>
      </c>
      <c r="BB122" s="82">
        <f>IF(AF122&lt;$C$11,0,MAX($C$38*AI122,AZ122))</f>
        <v>50777.913513752261</v>
      </c>
      <c r="BC122" s="136">
        <f>IF($C$39="JA",CT122,DG122)</f>
        <v>13392.674689252159</v>
      </c>
      <c r="BD122" s="82">
        <f t="shared" si="126"/>
        <v>0</v>
      </c>
      <c r="BE122" s="82">
        <f>IF(AF122&lt;($C$8+$C$30),0,$C$29*12*(1-$C$31))</f>
        <v>0</v>
      </c>
      <c r="BF122" s="82">
        <f>IF(AF122&lt;($C$8+$C$34),0,$C$33*12*(1-$C$35))</f>
        <v>0</v>
      </c>
      <c r="BG122" s="82">
        <f>IF(AF122&lt;$C$11,0,IF(AI122&lt;0,$C$42*(1+$C$44)^(AF122-$C$10),IF(((AL122+BE122+BF122)*$C$41)&lt;$C$42*(1+$C$44)^(AF122-$C$10),$C$42*(1+$C$44)^(AF122-$C$10),IF(((AL122+BE122+BF122)*$C$41)&lt;$C$43*(1+$C$44)^(AF122-$C$10),(AL122+BE122+BF122)*$C$41,IF(((AL122+BE122+BF122+BB122)*$C$41)&lt;$C$43*(1+$C$44)^(AF122-$C$10),((AL122+BE122+BF122+BB122)*$C$41),$C$43*(1+$C$44)^(AF122-$C$10))))))</f>
        <v>20183.548842766366</v>
      </c>
      <c r="BH122" s="82">
        <f t="shared" si="72"/>
        <v>84354.137045770796</v>
      </c>
      <c r="BI122" s="242">
        <f t="shared" si="73"/>
        <v>1384800.113863389</v>
      </c>
      <c r="BJ122" s="217">
        <f t="shared" si="74"/>
        <v>1300445.9768176181</v>
      </c>
      <c r="BK122" s="118"/>
      <c r="BL122" s="219">
        <f t="shared" si="127"/>
        <v>26</v>
      </c>
      <c r="BM122" s="220">
        <f t="shared" si="128"/>
        <v>43</v>
      </c>
      <c r="BN122" s="220">
        <f t="shared" si="121"/>
        <v>0</v>
      </c>
      <c r="BO122" s="221">
        <f t="shared" si="129"/>
        <v>0</v>
      </c>
      <c r="BP122" s="221">
        <f t="shared" si="130"/>
        <v>0</v>
      </c>
      <c r="BQ122" s="222">
        <f t="shared" si="9"/>
        <v>0</v>
      </c>
      <c r="BR122" s="223">
        <f>IF(BM122&lt;$C$11-$C$10+1,0,IF(BL122&lt;=$C$13,VLOOKUP(BL122,$BN$80:$BQ$156,2,FALSE)-BS122,0))</f>
        <v>0</v>
      </c>
      <c r="BS122" s="223">
        <f>IF(BM122&lt;$C$11-$C$10+1,0,IF(BL122&lt;=$C$13,VLOOKUP(BL122,$BN$80:$BQ$156,3,FALSE),0))</f>
        <v>0</v>
      </c>
      <c r="BT122" s="222">
        <f>IF(BM122&lt;$C$11-$C$10+1,0,IF(BL122&lt;=$C$13,VLOOKUP(BL122,$BN$80:$BQ$156,4,FALSE),0))</f>
        <v>0</v>
      </c>
      <c r="BU122" s="223">
        <f t="shared" si="160"/>
        <v>0</v>
      </c>
      <c r="BV122" s="223">
        <f t="shared" si="161"/>
        <v>0</v>
      </c>
      <c r="BW122" s="223">
        <f t="shared" si="118"/>
        <v>0</v>
      </c>
      <c r="BX122" s="223">
        <f>IF(AND(BS122&lt;=0,BN122=0),MIN((MAX($BZ$80:$BZ$156)-SUM($BX$80:BX121)),CA122),IF(BS122&lt;CA122,BS122,CA122))</f>
        <v>0</v>
      </c>
      <c r="BY122" s="222">
        <f>IF(BN122&gt;0,0,IF(AND(BN122=0,BT122&lt;=0),100%,((BW121*(AVERAGE($BT$80:BT121))+(BR122*BT122))/(BR122+BW121+BS122+BV121))))</f>
        <v>1</v>
      </c>
      <c r="BZ122" s="139">
        <f t="shared" si="162"/>
        <v>430891.77838569693</v>
      </c>
      <c r="CA122" s="122">
        <f t="shared" si="131"/>
        <v>50777.913513752261</v>
      </c>
      <c r="CB122" s="181">
        <f t="shared" si="47"/>
        <v>1</v>
      </c>
      <c r="CC122" s="122">
        <f t="shared" si="48"/>
        <v>1174137.0034864717</v>
      </c>
      <c r="CD122" s="182">
        <f t="shared" si="119"/>
        <v>0</v>
      </c>
      <c r="CE122" s="122">
        <f t="shared" si="75"/>
        <v>430891.77838569693</v>
      </c>
      <c r="CF122" s="122">
        <f t="shared" si="76"/>
        <v>0</v>
      </c>
      <c r="CG122" s="122" t="str">
        <f t="shared" si="132"/>
        <v/>
      </c>
      <c r="CH122" s="140">
        <f t="shared" si="133"/>
        <v>1</v>
      </c>
      <c r="CI122" s="142">
        <f t="shared" si="77"/>
        <v>9984</v>
      </c>
      <c r="CJ122" s="134">
        <f>CI122*$C$57</f>
        <v>0</v>
      </c>
      <c r="CK122" s="142">
        <f t="shared" si="78"/>
        <v>14926</v>
      </c>
      <c r="CL122" s="134">
        <f>CK122*$C$57</f>
        <v>0</v>
      </c>
      <c r="CM122" s="142">
        <f t="shared" si="79"/>
        <v>58596</v>
      </c>
      <c r="CN122" s="134">
        <f>CM122*$C$57</f>
        <v>0</v>
      </c>
      <c r="CO122" s="132">
        <f t="shared" si="117"/>
        <v>50777.913513752261</v>
      </c>
      <c r="CP122" s="140">
        <f t="shared" si="134"/>
        <v>0.38777523316866058</v>
      </c>
      <c r="CQ122" s="121" t="str">
        <f>IF($C$50="NEIN","NEIN",IF(CS122&lt;CR122,"JA","NEIN"))</f>
        <v>NEIN</v>
      </c>
      <c r="CR122" s="121">
        <f>CO122*$C$46</f>
        <v>13392.674689252159</v>
      </c>
      <c r="CS122" s="121">
        <f t="shared" si="135"/>
        <v>12185.311703318586</v>
      </c>
      <c r="CT122" s="201">
        <f>IF($C$50="NEIN",CR122,IF(CQ122="NEIN",CR122,CS122))</f>
        <v>13392.674689252159</v>
      </c>
      <c r="CU122" s="149"/>
      <c r="CV122" s="202">
        <f t="shared" si="80"/>
        <v>9984</v>
      </c>
      <c r="CW122" s="134">
        <f>CV122*$C$57</f>
        <v>0</v>
      </c>
      <c r="CX122" s="142">
        <f t="shared" si="81"/>
        <v>14926</v>
      </c>
      <c r="CY122" s="134">
        <f>CX122*$C$57</f>
        <v>0</v>
      </c>
      <c r="CZ122" s="142">
        <f t="shared" si="82"/>
        <v>58596</v>
      </c>
      <c r="DA122" s="143">
        <f>CZ122*$C$57</f>
        <v>0</v>
      </c>
      <c r="DB122" s="165">
        <f t="shared" si="120"/>
        <v>50777.913513752261</v>
      </c>
      <c r="DC122" s="140">
        <f t="shared" si="136"/>
        <v>0.38777523316866058</v>
      </c>
      <c r="DD122" s="121" t="str">
        <f>IF($C$50="NEIN","NEIN",IF(DF122&lt;DE122,"JA","NEIN"))</f>
        <v>NEIN</v>
      </c>
      <c r="DE122" s="121">
        <f>DB122*$C$46</f>
        <v>13392.674689252159</v>
      </c>
      <c r="DF122" s="121">
        <f t="shared" si="137"/>
        <v>12185.311703318586</v>
      </c>
      <c r="DG122" s="201">
        <f>IF($C$50="NEIN",DE122,IF(DD122="NEIN",DE122,DF122))</f>
        <v>13392.674689252159</v>
      </c>
      <c r="DH122" s="159"/>
      <c r="DI122" s="74"/>
      <c r="DJ122" s="74"/>
      <c r="DK122" s="128"/>
      <c r="DL122" s="128"/>
      <c r="DM122" s="128"/>
      <c r="DN122" s="74"/>
      <c r="DO122" s="28">
        <f t="shared" si="83"/>
        <v>2063</v>
      </c>
      <c r="DP122" s="17">
        <f>IF($C$13+$C$10&gt;=DO122,-AG122,IF(DO122=$C$13+$C$10+1,$EK$93,0))</f>
        <v>0</v>
      </c>
      <c r="DQ122" s="17">
        <f t="shared" si="84"/>
        <v>1375926.667291929</v>
      </c>
      <c r="DR122" s="17">
        <f t="shared" si="85"/>
        <v>3918327.5085638063</v>
      </c>
      <c r="DS122" s="17">
        <f t="shared" si="163"/>
        <v>65413.432980514561</v>
      </c>
      <c r="DT122" s="17">
        <f t="shared" si="138"/>
        <v>4262602.8074524235</v>
      </c>
      <c r="DU122" s="17">
        <f t="shared" si="86"/>
        <v>278861.8659081026</v>
      </c>
      <c r="DV122" s="33">
        <f t="shared" si="139"/>
        <v>1952.0330613567173</v>
      </c>
      <c r="DW122" s="32">
        <f t="shared" si="140"/>
        <v>85252.056149048469</v>
      </c>
      <c r="DX122" s="17">
        <f t="shared" si="87"/>
        <v>0</v>
      </c>
      <c r="DY122" s="17">
        <f t="shared" si="88"/>
        <v>0</v>
      </c>
      <c r="DZ122" s="17">
        <f t="shared" si="141"/>
        <v>0</v>
      </c>
      <c r="EA122" s="17">
        <f t="shared" si="164"/>
        <v>15528.397116518072</v>
      </c>
      <c r="EB122" s="15">
        <f t="shared" si="165"/>
        <v>69723.659032530399</v>
      </c>
      <c r="EC122" s="15">
        <f>IF(DP122=0,EC121,IF(DO122&lt;=$EK$88+$C$10,ABS(DP122)+EC121,EC121))</f>
        <v>430891.77838569693</v>
      </c>
      <c r="ED122" s="15">
        <f t="shared" si="89"/>
        <v>218790.32856010314</v>
      </c>
      <c r="EE122" s="16">
        <f t="shared" si="90"/>
        <v>4262602.8074524235</v>
      </c>
      <c r="EF122" s="15">
        <f t="shared" si="142"/>
        <v>65413.432980514561</v>
      </c>
      <c r="EG122" s="15">
        <f t="shared" si="91"/>
        <v>945034.88890623243</v>
      </c>
      <c r="EH122" s="16"/>
      <c r="EI122" s="16"/>
      <c r="EJ122"/>
      <c r="EK122"/>
      <c r="EL122"/>
      <c r="EM122" s="28">
        <f t="shared" si="92"/>
        <v>2063</v>
      </c>
      <c r="EN122" s="29">
        <f>IF($C$13+$C$10&gt;=EM122,-(AG122),IF(EM122=$C$13+$C$10+1,$FB$93,0))</f>
        <v>0</v>
      </c>
      <c r="EO122" s="30">
        <f t="shared" si="93"/>
        <v>430891.77838569693</v>
      </c>
      <c r="EP122" s="30">
        <f t="shared" si="94"/>
        <v>4493312.8382138666</v>
      </c>
      <c r="EQ122" s="30">
        <f t="shared" si="166"/>
        <v>0</v>
      </c>
      <c r="ER122" s="25">
        <f t="shared" si="143"/>
        <v>4807844.7368888371</v>
      </c>
      <c r="ES122" s="30">
        <f t="shared" si="95"/>
        <v>314531.89867497049</v>
      </c>
      <c r="ET122" s="26">
        <f t="shared" si="144"/>
        <v>2201.7232907247944</v>
      </c>
      <c r="EU122" s="30">
        <f t="shared" si="96"/>
        <v>2201.7232907247944</v>
      </c>
      <c r="EV122" s="25">
        <f t="shared" si="145"/>
        <v>0</v>
      </c>
      <c r="EW122" s="31">
        <f t="shared" si="97"/>
        <v>30638.670709521954</v>
      </c>
      <c r="EX122" s="27">
        <f>IF(EM122=0,EX121,IF(EM122&lt;=$FB$88+$C$10,ABS(EN122)+EX121,EX121))</f>
        <v>430891.77838569693</v>
      </c>
      <c r="EY122" s="15"/>
      <c r="EZ122"/>
      <c r="FA122"/>
      <c r="FB122"/>
      <c r="FC122" s="74"/>
      <c r="FD122" s="74"/>
      <c r="FE122" s="74"/>
      <c r="FF122" s="74"/>
      <c r="FG122" s="74"/>
      <c r="FH122" s="74"/>
      <c r="FI122" s="74"/>
      <c r="FJ122" s="28">
        <f t="shared" si="98"/>
        <v>2063</v>
      </c>
      <c r="FK122" s="65">
        <f>IF($C$13+$C$10&gt;=FJ122,-AG122,IF(FJ122=$C$13+$C$10+1,$EK$93,0))</f>
        <v>0</v>
      </c>
      <c r="FL122" s="65">
        <f t="shared" si="99"/>
        <v>74118.803999999975</v>
      </c>
      <c r="FM122" s="65">
        <f t="shared" si="100"/>
        <v>518635.33486638294</v>
      </c>
      <c r="FN122" s="65">
        <f t="shared" si="167"/>
        <v>0</v>
      </c>
      <c r="FO122" s="65">
        <f t="shared" si="146"/>
        <v>554939.80830702977</v>
      </c>
      <c r="FP122" s="65">
        <f t="shared" si="101"/>
        <v>36304.473440646834</v>
      </c>
      <c r="FQ122" s="59">
        <f t="shared" si="147"/>
        <v>254.13131408452765</v>
      </c>
      <c r="FR122" s="60">
        <f t="shared" si="148"/>
        <v>11098.796166140595</v>
      </c>
      <c r="FS122" s="65">
        <f t="shared" si="102"/>
        <v>0</v>
      </c>
      <c r="FT122" s="65">
        <f t="shared" si="103"/>
        <v>0</v>
      </c>
      <c r="FU122" s="65">
        <f t="shared" si="149"/>
        <v>0</v>
      </c>
      <c r="FV122" s="65">
        <f t="shared" si="168"/>
        <v>1837.8514921737071</v>
      </c>
      <c r="FW122" s="61">
        <f t="shared" si="169"/>
        <v>9260.9446739668874</v>
      </c>
      <c r="FX122" s="61">
        <f>IF(AND(FJ122&lt;=$GF$88+$C$10,FV121&lt;=0,FN122&gt;0),(FJ122-$C$10+1)*AG122+$GF$80,FX121)</f>
        <v>73074.599999999977</v>
      </c>
      <c r="FY122" s="62">
        <f t="shared" si="170"/>
        <v>8.6993224922576982</v>
      </c>
      <c r="FZ122" s="63">
        <f t="shared" si="104"/>
        <v>554939.80830702977</v>
      </c>
      <c r="GA122" s="64">
        <f t="shared" si="105"/>
        <v>10584.394589109856</v>
      </c>
      <c r="GB122" s="64">
        <f t="shared" si="106"/>
        <v>195733.61647202843</v>
      </c>
      <c r="GC122" s="66">
        <f t="shared" si="150"/>
        <v>0</v>
      </c>
      <c r="GD122" s="64">
        <f t="shared" si="107"/>
        <v>1580.6039999999994</v>
      </c>
      <c r="GE122"/>
      <c r="GF122"/>
      <c r="GG122" s="74"/>
      <c r="GH122" s="74"/>
      <c r="GI122" s="28">
        <f t="shared" si="108"/>
        <v>2063</v>
      </c>
      <c r="GJ122" s="9">
        <f>IF($GX$88+$C$10&gt;=GI122,-AG122,IF(GI122=$GX$88+$C$10+1,$FB$93,0))</f>
        <v>0</v>
      </c>
      <c r="GK122" s="5">
        <f t="shared" si="109"/>
        <v>520760.84532325208</v>
      </c>
      <c r="GL122" s="5">
        <f t="shared" si="110"/>
        <v>3878759.0093098786</v>
      </c>
      <c r="GM122" s="35">
        <f t="shared" si="171"/>
        <v>8513.5735701272424</v>
      </c>
      <c r="GN122" s="4">
        <f t="shared" si="151"/>
        <v>4159381.6636816063</v>
      </c>
      <c r="GO122" s="5">
        <f t="shared" si="111"/>
        <v>272109.08080160059</v>
      </c>
      <c r="GP122" s="5">
        <f t="shared" si="152"/>
        <v>1904.7635656112025</v>
      </c>
      <c r="GQ122" s="5">
        <f t="shared" si="112"/>
        <v>1904.7635656112025</v>
      </c>
      <c r="GR122" s="4">
        <f t="shared" si="153"/>
        <v>351.66697330096821</v>
      </c>
      <c r="GS122" s="7">
        <f t="shared" si="113"/>
        <v>25470.345728508462</v>
      </c>
      <c r="GT122" s="107" t="e">
        <f>IF($DG$62=0,EX122,IF(GI122-$C$10+1&lt;=$GF$98,0,#REF!-FX122))</f>
        <v>#REF!</v>
      </c>
      <c r="GU122"/>
      <c r="GV122"/>
      <c r="GW122"/>
      <c r="GX122"/>
      <c r="GY122" s="74"/>
      <c r="GZ122" s="74"/>
      <c r="HA122" s="74"/>
      <c r="HB122" s="74"/>
      <c r="HC122" s="74"/>
      <c r="HD122" s="74"/>
    </row>
    <row r="123" spans="2:212" ht="16.149999999999999" thickBot="1" x14ac:dyDescent="0.55000000000000004">
      <c r="B123" s="333"/>
      <c r="C123" s="75"/>
      <c r="D123" s="75"/>
      <c r="F123" s="75"/>
      <c r="G123" s="75"/>
      <c r="H123" s="75"/>
      <c r="I123" s="75"/>
      <c r="J123" s="75"/>
      <c r="K123" s="75"/>
      <c r="L123" s="75"/>
      <c r="M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AB123" s="117" t="str">
        <f t="shared" si="34"/>
        <v/>
      </c>
      <c r="AC123" s="117" t="str">
        <f t="shared" si="35"/>
        <v/>
      </c>
      <c r="AD123" s="299">
        <f>IF($C$20="NEIN",$C$21,IF($C$22="JA",'HISTORISCHE RENDITEN'!E47,'HISTORISCHE RENDITEN'!D47))</f>
        <v>0.2014</v>
      </c>
      <c r="AE123" s="129">
        <f t="shared" si="172"/>
        <v>71</v>
      </c>
      <c r="AF123" s="120">
        <f t="shared" si="154"/>
        <v>2064</v>
      </c>
      <c r="AG123" s="122">
        <f t="shared" si="123"/>
        <v>0</v>
      </c>
      <c r="AH123" s="124">
        <f t="shared" si="155"/>
        <v>430891.77838569693</v>
      </c>
      <c r="AI123" s="296">
        <f t="shared" si="114"/>
        <v>1300445.9768176181</v>
      </c>
      <c r="AJ123" s="123">
        <f t="shared" si="67"/>
        <v>0</v>
      </c>
      <c r="AK123" s="124">
        <f t="shared" si="156"/>
        <v>1562355.7965486865</v>
      </c>
      <c r="AL123" s="122">
        <f t="shared" si="124"/>
        <v>261909.81973106833</v>
      </c>
      <c r="AM123" s="122">
        <f>IF($C$25="Ausschütter",0,IF(AL123&gt;=0,(AI123+AJ123)*$C$48*0.7))</f>
        <v>637.21852864063283</v>
      </c>
      <c r="AN123" s="122">
        <f t="shared" si="125"/>
        <v>0</v>
      </c>
      <c r="AO123" s="122">
        <f t="shared" si="39"/>
        <v>637.21852864063283</v>
      </c>
      <c r="AP123" s="122">
        <f t="shared" si="69"/>
        <v>15371.487798858174</v>
      </c>
      <c r="AQ123" s="122">
        <f>IF($C$25="AUSSCHÜTTER",0,IF(AO123*$C$46*$C$49&lt;=$C$47,0,AO123*$C$46*$C$49))</f>
        <v>0</v>
      </c>
      <c r="AR123" s="122">
        <f>IF(AO122*$C$49&gt;$C$47,(AN123)*$C$49*$C$46,IF((AO122+AN123)*$C$49&gt;$C$47,((AO122+AN123)*$C$49-$C$47)*$C$46,0))</f>
        <v>0</v>
      </c>
      <c r="AS123" s="122">
        <f t="shared" si="70"/>
        <v>0</v>
      </c>
      <c r="AT123" s="122">
        <f t="shared" si="157"/>
        <v>430891.77838569693</v>
      </c>
      <c r="AU123" s="122">
        <f t="shared" si="115"/>
        <v>0</v>
      </c>
      <c r="AV123" s="122">
        <f t="shared" si="71"/>
        <v>1562355.7965486865</v>
      </c>
      <c r="AW123" s="122">
        <f t="shared" si="158"/>
        <v>0</v>
      </c>
      <c r="AX123" s="130">
        <f t="shared" si="159"/>
        <v>0</v>
      </c>
      <c r="AY123" s="82">
        <f>IF(AF123&lt;$C$11,$C$15*(1+$C$19)^(AF123-$C$10),0)</f>
        <v>0</v>
      </c>
      <c r="AZ123" s="82">
        <f>$C$14*(1+$C$37)^(AF123-$C$10)</f>
        <v>52047.361351596075</v>
      </c>
      <c r="BA123" s="165">
        <f>IF(AF123&lt;$C$11,0,MAX($C$38*AI123,AZ123))</f>
        <v>52047.361351596075</v>
      </c>
      <c r="BB123" s="82">
        <f>IF(AF123&lt;$C$11,0,MAX($C$38*AI123,AZ123))</f>
        <v>52047.361351596075</v>
      </c>
      <c r="BC123" s="136">
        <f>IF($C$39="JA",CT123,DG123)</f>
        <v>13727.491556483465</v>
      </c>
      <c r="BD123" s="82">
        <f t="shared" si="126"/>
        <v>0</v>
      </c>
      <c r="BE123" s="82">
        <f>IF(AF123&lt;($C$8+$C$30),0,$C$29*12*(1-$C$31))</f>
        <v>0</v>
      </c>
      <c r="BF123" s="82">
        <f>IF(AF123&lt;($C$8+$C$34),0,$C$33*12*(1-$C$35))</f>
        <v>0</v>
      </c>
      <c r="BG123" s="82">
        <f>IF(AF123&lt;$C$11,0,IF(AI123&lt;0,$C$42*(1+$C$44)^(AF123-$C$10),IF(((AL123+BE123+BF123)*$C$41)&lt;$C$42*(1+$C$44)^(AF123-$C$10),$C$42*(1+$C$44)^(AF123-$C$10),IF(((AL123+BE123+BF123)*$C$41)&lt;$C$43*(1+$C$44)^(AF123-$C$10),(AL123+BE123+BF123)*$C$41,IF(((AL123+BE123+BF123+BB123)*$C$41)&lt;$C$43*(1+$C$44)^(AF123-$C$10),((AL123+BE123+BF123+BB123)*$C$41),$C$43*(1+$C$44)^(AF123-$C$10))))))</f>
        <v>20486.302075407857</v>
      </c>
      <c r="BH123" s="82">
        <f t="shared" si="72"/>
        <v>86261.154983487388</v>
      </c>
      <c r="BI123" s="242">
        <f t="shared" si="73"/>
        <v>1562355.7965486865</v>
      </c>
      <c r="BJ123" s="217">
        <f t="shared" si="74"/>
        <v>1476094.641565199</v>
      </c>
      <c r="BK123" s="118"/>
      <c r="BL123" s="219">
        <f t="shared" si="127"/>
        <v>27</v>
      </c>
      <c r="BM123" s="220">
        <f t="shared" si="128"/>
        <v>44</v>
      </c>
      <c r="BN123" s="220">
        <f t="shared" si="121"/>
        <v>0</v>
      </c>
      <c r="BO123" s="221">
        <f t="shared" si="129"/>
        <v>0</v>
      </c>
      <c r="BP123" s="221">
        <f t="shared" si="130"/>
        <v>0</v>
      </c>
      <c r="BQ123" s="222">
        <f t="shared" si="9"/>
        <v>0</v>
      </c>
      <c r="BR123" s="223">
        <f>IF(BM123&lt;$C$11-$C$10+1,0,IF(BL123&lt;=$C$13,VLOOKUP(BL123,$BN$80:$BQ$156,2,FALSE)-BS123,0))</f>
        <v>0</v>
      </c>
      <c r="BS123" s="223">
        <f>IF(BM123&lt;$C$11-$C$10+1,0,IF(BL123&lt;=$C$13,VLOOKUP(BL123,$BN$80:$BQ$156,3,FALSE),0))</f>
        <v>0</v>
      </c>
      <c r="BT123" s="222">
        <f>IF(BM123&lt;$C$11-$C$10+1,0,IF(BL123&lt;=$C$13,VLOOKUP(BL123,$BN$80:$BQ$156,4,FALSE),0))</f>
        <v>0</v>
      </c>
      <c r="BU123" s="223">
        <f t="shared" si="160"/>
        <v>0</v>
      </c>
      <c r="BV123" s="223">
        <f t="shared" si="161"/>
        <v>0</v>
      </c>
      <c r="BW123" s="223">
        <f t="shared" si="118"/>
        <v>0</v>
      </c>
      <c r="BX123" s="223">
        <f>IF(AND(BS123&lt;=0,BN123=0),MIN((MAX($BZ$80:$BZ$156)-SUM($BX$80:BX122)),CA123),IF(BS123&lt;CA123,BS123,CA123))</f>
        <v>0</v>
      </c>
      <c r="BY123" s="222">
        <f>IF(BN123&gt;0,0,IF(AND(BN123=0,BT123&lt;=0),100%,((BW122*(AVERAGE($BT$80:BT122))+(BR123*BT123))/(BR123+BW122+BS123+BV122))))</f>
        <v>1</v>
      </c>
      <c r="BZ123" s="139">
        <f t="shared" si="162"/>
        <v>430891.77838569693</v>
      </c>
      <c r="CA123" s="122">
        <f t="shared" si="131"/>
        <v>52047.361351596075</v>
      </c>
      <c r="CB123" s="181">
        <f t="shared" si="47"/>
        <v>1</v>
      </c>
      <c r="CC123" s="122">
        <f t="shared" si="48"/>
        <v>1226184.3648380679</v>
      </c>
      <c r="CD123" s="182">
        <f t="shared" si="119"/>
        <v>0</v>
      </c>
      <c r="CE123" s="122">
        <f t="shared" si="75"/>
        <v>430891.77838569693</v>
      </c>
      <c r="CF123" s="122">
        <f t="shared" si="76"/>
        <v>0</v>
      </c>
      <c r="CG123" s="122" t="str">
        <f t="shared" si="132"/>
        <v/>
      </c>
      <c r="CH123" s="140">
        <f t="shared" si="133"/>
        <v>1</v>
      </c>
      <c r="CI123" s="142">
        <f t="shared" si="77"/>
        <v>9984</v>
      </c>
      <c r="CJ123" s="134">
        <f>CI123*$C$57</f>
        <v>0</v>
      </c>
      <c r="CK123" s="142">
        <f t="shared" si="78"/>
        <v>14926</v>
      </c>
      <c r="CL123" s="134">
        <f>CK123*$C$57</f>
        <v>0</v>
      </c>
      <c r="CM123" s="142">
        <f t="shared" si="79"/>
        <v>58596</v>
      </c>
      <c r="CN123" s="134">
        <f>CM123*$C$57</f>
        <v>0</v>
      </c>
      <c r="CO123" s="132">
        <f t="shared" si="117"/>
        <v>52047.361351596075</v>
      </c>
      <c r="CP123" s="140">
        <f t="shared" si="134"/>
        <v>0.39300767216137611</v>
      </c>
      <c r="CQ123" s="121" t="str">
        <f>IF($C$50="NEIN","NEIN",IF(CS123&lt;CR123,"JA","NEIN"))</f>
        <v>NEIN</v>
      </c>
      <c r="CR123" s="121">
        <f>CO123*$C$46</f>
        <v>13727.491556483465</v>
      </c>
      <c r="CS123" s="121">
        <f t="shared" si="135"/>
        <v>12680.826361799831</v>
      </c>
      <c r="CT123" s="201">
        <f>IF($C$50="NEIN",CR123,IF(CQ123="NEIN",CR123,CS123))</f>
        <v>13727.491556483465</v>
      </c>
      <c r="CU123" s="149"/>
      <c r="CV123" s="202">
        <f t="shared" si="80"/>
        <v>9984</v>
      </c>
      <c r="CW123" s="134">
        <f>CV123*$C$57</f>
        <v>0</v>
      </c>
      <c r="CX123" s="142">
        <f t="shared" si="81"/>
        <v>14926</v>
      </c>
      <c r="CY123" s="134">
        <f>CX123*$C$57</f>
        <v>0</v>
      </c>
      <c r="CZ123" s="142">
        <f t="shared" si="82"/>
        <v>58596</v>
      </c>
      <c r="DA123" s="143">
        <f>CZ123*$C$57</f>
        <v>0</v>
      </c>
      <c r="DB123" s="165">
        <f t="shared" si="120"/>
        <v>52047.361351596075</v>
      </c>
      <c r="DC123" s="140">
        <f t="shared" si="136"/>
        <v>0.39300767216137611</v>
      </c>
      <c r="DD123" s="121" t="str">
        <f>IF($C$50="NEIN","NEIN",IF(DF123&lt;DE123,"JA","NEIN"))</f>
        <v>NEIN</v>
      </c>
      <c r="DE123" s="121">
        <f>DB123*$C$46</f>
        <v>13727.491556483465</v>
      </c>
      <c r="DF123" s="121">
        <f t="shared" si="137"/>
        <v>12680.826361799831</v>
      </c>
      <c r="DG123" s="201">
        <f>IF($C$50="NEIN",DE123,IF(DD123="NEIN",DE123,DF123))</f>
        <v>13727.491556483465</v>
      </c>
      <c r="DH123" s="159"/>
      <c r="DI123" s="74"/>
      <c r="DJ123" s="74"/>
      <c r="DK123" s="128"/>
      <c r="DL123" s="128"/>
      <c r="DM123" s="128"/>
      <c r="DN123" s="74"/>
      <c r="DO123" s="28">
        <f t="shared" si="83"/>
        <v>2064</v>
      </c>
      <c r="DP123" s="17">
        <f>IF($C$13+$C$10&gt;=DO123,-AG123,IF(DO123=$C$13+$C$10+1,$EK$93,0))</f>
        <v>0</v>
      </c>
      <c r="DQ123" s="17">
        <f t="shared" si="84"/>
        <v>1445650.3263244594</v>
      </c>
      <c r="DR123" s="17">
        <f t="shared" si="85"/>
        <v>4177350.7513033752</v>
      </c>
      <c r="DS123" s="17">
        <f t="shared" si="163"/>
        <v>69723.659032530399</v>
      </c>
      <c r="DT123" s="17">
        <f t="shared" si="138"/>
        <v>4544369.6190594193</v>
      </c>
      <c r="DU123" s="17">
        <f t="shared" si="86"/>
        <v>297295.20872351341</v>
      </c>
      <c r="DV123" s="33">
        <f t="shared" si="139"/>
        <v>2081.0664610645936</v>
      </c>
      <c r="DW123" s="32">
        <f t="shared" si="140"/>
        <v>90887.392381188387</v>
      </c>
      <c r="DX123" s="17">
        <f t="shared" si="87"/>
        <v>0</v>
      </c>
      <c r="DY123" s="17">
        <f t="shared" si="88"/>
        <v>0</v>
      </c>
      <c r="DZ123" s="17">
        <f t="shared" si="141"/>
        <v>0</v>
      </c>
      <c r="EA123" s="17">
        <f t="shared" si="164"/>
        <v>16568.821068376903</v>
      </c>
      <c r="EB123" s="15">
        <f t="shared" si="165"/>
        <v>74318.571312811488</v>
      </c>
      <c r="EC123" s="15">
        <f>IF(DP123=0,EC122,IF(DO123&lt;=$EK$88+$C$10,ABS(DP123)+EC122,EC122))</f>
        <v>430891.77838569693</v>
      </c>
      <c r="ED123" s="15">
        <f t="shared" si="89"/>
        <v>235359.14962848005</v>
      </c>
      <c r="EE123" s="16">
        <f t="shared" si="90"/>
        <v>4544369.6190594193</v>
      </c>
      <c r="EF123" s="15">
        <f t="shared" si="142"/>
        <v>69723.659032530399</v>
      </c>
      <c r="EG123" s="15">
        <f t="shared" si="91"/>
        <v>1014758.5479387628</v>
      </c>
      <c r="EH123" s="16"/>
      <c r="EI123" s="16"/>
      <c r="EJ123"/>
      <c r="EK123"/>
      <c r="EL123"/>
      <c r="EM123" s="28">
        <f t="shared" si="92"/>
        <v>2064</v>
      </c>
      <c r="EN123" s="29">
        <f>IF($C$13+$C$10&gt;=EM123,-(AG123),IF(EM123=$C$13+$C$10+1,$FB$93,0))</f>
        <v>0</v>
      </c>
      <c r="EO123" s="30">
        <f t="shared" si="93"/>
        <v>430891.77838569693</v>
      </c>
      <c r="EP123" s="30">
        <f t="shared" si="94"/>
        <v>4807844.7368888371</v>
      </c>
      <c r="EQ123" s="30">
        <f t="shared" si="166"/>
        <v>0</v>
      </c>
      <c r="ER123" s="25">
        <f t="shared" si="143"/>
        <v>5144393.8684710562</v>
      </c>
      <c r="ES123" s="30">
        <f t="shared" si="95"/>
        <v>336549.13158221915</v>
      </c>
      <c r="ET123" s="26">
        <f t="shared" si="144"/>
        <v>2355.84392107553</v>
      </c>
      <c r="EU123" s="30">
        <f t="shared" si="96"/>
        <v>2355.84392107553</v>
      </c>
      <c r="EV123" s="25">
        <f t="shared" si="145"/>
        <v>0</v>
      </c>
      <c r="EW123" s="31">
        <f t="shared" si="97"/>
        <v>32994.514630597485</v>
      </c>
      <c r="EX123" s="27">
        <f>IF(EM123=0,EX122,IF(EM123&lt;=$FB$88+$C$10,ABS(EN123)+EX122,EX122))</f>
        <v>430891.77838569693</v>
      </c>
      <c r="EY123" s="15"/>
      <c r="EZ123"/>
      <c r="FA123"/>
      <c r="FB123"/>
      <c r="FC123" s="74"/>
      <c r="FD123" s="74"/>
      <c r="FE123" s="74"/>
      <c r="FF123" s="74"/>
      <c r="FG123" s="74"/>
      <c r="FH123" s="74"/>
      <c r="FI123" s="74"/>
      <c r="FJ123" s="28">
        <f t="shared" si="98"/>
        <v>2064</v>
      </c>
      <c r="FK123" s="65">
        <f>IF($C$13+$C$10&gt;=FJ123,-AG123,IF(FJ123=$C$13+$C$10+1,$EK$93,0))</f>
        <v>0</v>
      </c>
      <c r="FL123" s="65">
        <f t="shared" si="99"/>
        <v>74118.803999999975</v>
      </c>
      <c r="FM123" s="65">
        <f t="shared" si="100"/>
        <v>543841.01214088919</v>
      </c>
      <c r="FN123" s="65">
        <f t="shared" si="167"/>
        <v>0</v>
      </c>
      <c r="FO123" s="65">
        <f t="shared" si="146"/>
        <v>581909.88299075142</v>
      </c>
      <c r="FP123" s="65">
        <f t="shared" si="101"/>
        <v>38068.870849862229</v>
      </c>
      <c r="FQ123" s="59">
        <f t="shared" si="147"/>
        <v>266.48209594903568</v>
      </c>
      <c r="FR123" s="60">
        <f t="shared" si="148"/>
        <v>11638.197659815029</v>
      </c>
      <c r="FS123" s="65">
        <f t="shared" si="102"/>
        <v>0</v>
      </c>
      <c r="FT123" s="65">
        <f t="shared" si="103"/>
        <v>0</v>
      </c>
      <c r="FU123" s="65">
        <f t="shared" si="149"/>
        <v>0</v>
      </c>
      <c r="FV123" s="65">
        <f t="shared" si="168"/>
        <v>1937.4384929433495</v>
      </c>
      <c r="FW123" s="61">
        <f t="shared" si="169"/>
        <v>9700.7591668716796</v>
      </c>
      <c r="FX123" s="61">
        <f>IF(AND(FJ123&lt;=$GF$88+$C$10,FV122&lt;=0,FN123&gt;0),(FJ123-$C$10+1)*AG123+$GF$80,FX122)</f>
        <v>73074.599999999977</v>
      </c>
      <c r="FY123" s="62">
        <f t="shared" si="170"/>
        <v>9.1707095653814239</v>
      </c>
      <c r="FZ123" s="63">
        <f t="shared" si="104"/>
        <v>581909.88299075142</v>
      </c>
      <c r="GA123" s="64">
        <f t="shared" si="105"/>
        <v>11098.796166140595</v>
      </c>
      <c r="GB123" s="64">
        <f t="shared" si="106"/>
        <v>206832.41263816901</v>
      </c>
      <c r="GC123" s="66">
        <f t="shared" si="150"/>
        <v>0</v>
      </c>
      <c r="GD123" s="64">
        <f t="shared" si="107"/>
        <v>1580.6039999999994</v>
      </c>
      <c r="GE123"/>
      <c r="GF123"/>
      <c r="GG123" s="74"/>
      <c r="GH123" s="74"/>
      <c r="GI123" s="28">
        <f t="shared" si="108"/>
        <v>2064</v>
      </c>
      <c r="GJ123" s="9">
        <f>IF($GX$88+$C$10&gt;=GI123,-AG123,IF(GI123=$GX$88+$C$10+1,$FB$93,0))</f>
        <v>0</v>
      </c>
      <c r="GK123" s="5">
        <f t="shared" si="109"/>
        <v>529670.12302391801</v>
      </c>
      <c r="GL123" s="5">
        <f t="shared" si="110"/>
        <v>4159381.6636816063</v>
      </c>
      <c r="GM123" s="35">
        <f t="shared" si="171"/>
        <v>8909.2777006659198</v>
      </c>
      <c r="GN123" s="4">
        <f t="shared" si="151"/>
        <v>4460071.3072790317</v>
      </c>
      <c r="GO123" s="5">
        <f t="shared" si="111"/>
        <v>291780.36589675955</v>
      </c>
      <c r="GP123" s="5">
        <f t="shared" si="152"/>
        <v>2042.4625612773132</v>
      </c>
      <c r="GQ123" s="5">
        <f t="shared" si="112"/>
        <v>2042.4625612773132</v>
      </c>
      <c r="GR123" s="4">
        <f t="shared" si="153"/>
        <v>377.08965037582391</v>
      </c>
      <c r="GS123" s="7">
        <f t="shared" si="113"/>
        <v>27512.808289785775</v>
      </c>
      <c r="GT123" s="107" t="e">
        <f>IF($DG$62=0,EX123,IF(GI123-$C$10+1&lt;=$GF$98,0,#REF!-FX123))</f>
        <v>#REF!</v>
      </c>
      <c r="GU123"/>
      <c r="GV123"/>
      <c r="GW123"/>
      <c r="GX123"/>
      <c r="GY123" s="74"/>
      <c r="GZ123" s="74"/>
      <c r="HA123" s="74"/>
      <c r="HB123" s="74"/>
      <c r="HC123" s="74"/>
      <c r="HD123" s="74"/>
    </row>
    <row r="124" spans="2:212" ht="16.149999999999999" thickBot="1" x14ac:dyDescent="0.55000000000000004">
      <c r="B124" s="333"/>
      <c r="C124" s="75"/>
      <c r="D124" s="75"/>
      <c r="F124" s="75"/>
      <c r="G124" s="75"/>
      <c r="H124" s="75"/>
      <c r="I124" s="75"/>
      <c r="J124" s="75"/>
      <c r="K124" s="75"/>
      <c r="L124" s="75"/>
      <c r="M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AB124" s="117" t="str">
        <f t="shared" si="34"/>
        <v/>
      </c>
      <c r="AC124" s="117" t="str">
        <f t="shared" si="35"/>
        <v/>
      </c>
      <c r="AD124" s="299">
        <f>IF($C$20="NEIN",$C$21,IF($C$22="JA",'HISTORISCHE RENDITEN'!E48,'HISTORISCHE RENDITEN'!D48))</f>
        <v>-5.7099999999999998E-2</v>
      </c>
      <c r="AE124" s="129">
        <f t="shared" si="172"/>
        <v>72</v>
      </c>
      <c r="AF124" s="120">
        <f t="shared" si="154"/>
        <v>2065</v>
      </c>
      <c r="AG124" s="122">
        <f t="shared" si="123"/>
        <v>0</v>
      </c>
      <c r="AH124" s="124">
        <f t="shared" si="155"/>
        <v>430891.77838569693</v>
      </c>
      <c r="AI124" s="296">
        <f t="shared" si="114"/>
        <v>1476094.641565199</v>
      </c>
      <c r="AJ124" s="123">
        <f t="shared" si="67"/>
        <v>0</v>
      </c>
      <c r="AK124" s="124">
        <f t="shared" si="156"/>
        <v>1391809.637531826</v>
      </c>
      <c r="AL124" s="122">
        <f t="shared" si="124"/>
        <v>-84285.00403337297</v>
      </c>
      <c r="AM124" s="122" t="b">
        <f>IF($C$25="Ausschütter",0,IF(AL124&gt;=0,(AI124+AJ124)*$C$48*0.7))</f>
        <v>0</v>
      </c>
      <c r="AN124" s="122">
        <f t="shared" si="125"/>
        <v>0</v>
      </c>
      <c r="AO124" s="122">
        <f t="shared" si="39"/>
        <v>0</v>
      </c>
      <c r="AP124" s="122">
        <f t="shared" si="69"/>
        <v>15371.487798858174</v>
      </c>
      <c r="AQ124" s="122">
        <f>IF($C$25="AUSSCHÜTTER",0,IF(AO124*$C$46*$C$49&lt;=$C$47,0,AO124*$C$46*$C$49))</f>
        <v>0</v>
      </c>
      <c r="AR124" s="122">
        <f>IF(AO123*$C$49&gt;$C$47,(AN124)*$C$49*$C$46,IF((AO123+AN124)*$C$49&gt;$C$47,((AO123+AN124)*$C$49-$C$47)*$C$46,0))</f>
        <v>0</v>
      </c>
      <c r="AS124" s="122">
        <f t="shared" si="70"/>
        <v>0</v>
      </c>
      <c r="AT124" s="122">
        <f t="shared" si="157"/>
        <v>430891.77838569693</v>
      </c>
      <c r="AU124" s="122">
        <f t="shared" si="115"/>
        <v>0</v>
      </c>
      <c r="AV124" s="122">
        <f t="shared" si="71"/>
        <v>1391809.637531826</v>
      </c>
      <c r="AW124" s="122">
        <f t="shared" si="158"/>
        <v>0</v>
      </c>
      <c r="AX124" s="130">
        <f t="shared" si="159"/>
        <v>0</v>
      </c>
      <c r="AY124" s="82">
        <f>IF(AF124&lt;$C$11,$C$15*(1+$C$19)^(AF124-$C$10),0)</f>
        <v>0</v>
      </c>
      <c r="AZ124" s="82">
        <f>$C$14*(1+$C$37)^(AF124-$C$10)</f>
        <v>53348.545385385965</v>
      </c>
      <c r="BA124" s="165">
        <f>IF(AF124&lt;$C$11,0,MAX($C$38*AI124,AZ124))</f>
        <v>53348.545385385965</v>
      </c>
      <c r="BB124" s="82">
        <f>IF(AF124&lt;$C$11,0,MAX($C$38*AI124,AZ124))</f>
        <v>53348.545385385965</v>
      </c>
      <c r="BC124" s="136">
        <f>IF($C$39="JA",CT124,DG124)</f>
        <v>14070.678845395547</v>
      </c>
      <c r="BD124" s="82">
        <f t="shared" si="126"/>
        <v>0</v>
      </c>
      <c r="BE124" s="82">
        <f>IF(AF124&lt;($C$8+$C$30),0,$C$29*12*(1-$C$31))</f>
        <v>0</v>
      </c>
      <c r="BF124" s="82">
        <f>IF(AF124&lt;($C$8+$C$34),0,$C$33*12*(1-$C$35))</f>
        <v>0</v>
      </c>
      <c r="BG124" s="82">
        <f>IF(AF124&lt;$C$11,0,IF(AI124&lt;0,$C$42*(1+$C$44)^(AF124-$C$10),IF(((AL124+BE124+BF124)*$C$41)&lt;$C$42*(1+$C$44)^(AF124-$C$10),$C$42*(1+$C$44)^(AF124-$C$10),IF(((AL124+BE124+BF124)*$C$41)&lt;$C$43*(1+$C$44)^(AF124-$C$10),(AL124+BE124+BF124)*$C$41,IF(((AL124+BE124+BF124+BB124)*$C$41)&lt;$C$43*(1+$C$44)^(AF124-$C$10),((AL124+BE124+BF124+BB124)*$C$41),$C$43*(1+$C$44)^(AF124-$C$10))))))</f>
        <v>4620.7992458975496</v>
      </c>
      <c r="BH124" s="82">
        <f t="shared" si="72"/>
        <v>72040.023476679053</v>
      </c>
      <c r="BI124" s="242">
        <f t="shared" si="73"/>
        <v>1391809.637531826</v>
      </c>
      <c r="BJ124" s="217">
        <f t="shared" si="74"/>
        <v>1319769.6140551469</v>
      </c>
      <c r="BK124" s="118"/>
      <c r="BL124" s="219">
        <f t="shared" si="127"/>
        <v>28</v>
      </c>
      <c r="BM124" s="220">
        <f t="shared" si="128"/>
        <v>45</v>
      </c>
      <c r="BN124" s="220">
        <f t="shared" si="121"/>
        <v>0</v>
      </c>
      <c r="BO124" s="221">
        <f t="shared" si="129"/>
        <v>0</v>
      </c>
      <c r="BP124" s="221">
        <f t="shared" si="130"/>
        <v>0</v>
      </c>
      <c r="BQ124" s="222">
        <f t="shared" si="9"/>
        <v>0</v>
      </c>
      <c r="BR124" s="223">
        <f>IF(BM124&lt;$C$11-$C$10+1,0,IF(BL124&lt;=$C$13,VLOOKUP(BL124,$BN$80:$BQ$156,2,FALSE)-BS124,0))</f>
        <v>0</v>
      </c>
      <c r="BS124" s="223">
        <f>IF(BM124&lt;$C$11-$C$10+1,0,IF(BL124&lt;=$C$13,VLOOKUP(BL124,$BN$80:$BQ$156,3,FALSE),0))</f>
        <v>0</v>
      </c>
      <c r="BT124" s="222">
        <f>IF(BM124&lt;$C$11-$C$10+1,0,IF(BL124&lt;=$C$13,VLOOKUP(BL124,$BN$80:$BQ$156,4,FALSE),0))</f>
        <v>0</v>
      </c>
      <c r="BU124" s="223">
        <f t="shared" si="160"/>
        <v>0</v>
      </c>
      <c r="BV124" s="223">
        <f t="shared" si="161"/>
        <v>0</v>
      </c>
      <c r="BW124" s="223">
        <f t="shared" si="118"/>
        <v>0</v>
      </c>
      <c r="BX124" s="223">
        <f>IF(AND(BS124&lt;=0,BN124=0),MIN((MAX($BZ$80:$BZ$156)-SUM($BX$80:BX123)),CA124),IF(BS124&lt;CA124,BS124,CA124))</f>
        <v>0</v>
      </c>
      <c r="BY124" s="222">
        <f>IF(BN124&gt;0,0,IF(AND(BN124=0,BT124&lt;=0),100%,((BW123*(AVERAGE($BT$80:BT123))+(BR124*BT124))/(BR124+BW123+BS124+BV123))))</f>
        <v>1</v>
      </c>
      <c r="BZ124" s="139">
        <f t="shared" si="162"/>
        <v>430891.77838569693</v>
      </c>
      <c r="CA124" s="122">
        <f t="shared" si="131"/>
        <v>53348.545385385965</v>
      </c>
      <c r="CB124" s="181">
        <f t="shared" si="47"/>
        <v>1</v>
      </c>
      <c r="CC124" s="122">
        <f t="shared" si="48"/>
        <v>1279532.9102234538</v>
      </c>
      <c r="CD124" s="182">
        <f t="shared" si="119"/>
        <v>0</v>
      </c>
      <c r="CE124" s="122">
        <f t="shared" si="75"/>
        <v>430891.77838569693</v>
      </c>
      <c r="CF124" s="122">
        <f t="shared" si="76"/>
        <v>0</v>
      </c>
      <c r="CG124" s="122" t="str">
        <f t="shared" si="132"/>
        <v/>
      </c>
      <c r="CH124" s="140">
        <f t="shared" si="133"/>
        <v>1</v>
      </c>
      <c r="CI124" s="142">
        <f t="shared" si="77"/>
        <v>9984</v>
      </c>
      <c r="CJ124" s="134">
        <f>CI124*$C$57</f>
        <v>0</v>
      </c>
      <c r="CK124" s="142">
        <f t="shared" si="78"/>
        <v>14926</v>
      </c>
      <c r="CL124" s="134">
        <f>CK124*$C$57</f>
        <v>0</v>
      </c>
      <c r="CM124" s="142">
        <f t="shared" si="79"/>
        <v>58596</v>
      </c>
      <c r="CN124" s="134">
        <f>CM124*$C$57</f>
        <v>0</v>
      </c>
      <c r="CO124" s="132">
        <f t="shared" si="117"/>
        <v>53348.545385385965</v>
      </c>
      <c r="CP124" s="140">
        <f t="shared" si="134"/>
        <v>0.3983709221289094</v>
      </c>
      <c r="CQ124" s="121" t="str">
        <f>IF($C$50="NEIN","NEIN",IF(CS124&lt;CR124,"JA","NEIN"))</f>
        <v>NEIN</v>
      </c>
      <c r="CR124" s="121">
        <f>CO124*$C$46</f>
        <v>14070.678845395547</v>
      </c>
      <c r="CS124" s="121">
        <f t="shared" si="135"/>
        <v>13195.633691868361</v>
      </c>
      <c r="CT124" s="201">
        <f>IF($C$50="NEIN",CR124,IF(CQ124="NEIN",CR124,CS124))</f>
        <v>14070.678845395547</v>
      </c>
      <c r="CU124" s="149"/>
      <c r="CV124" s="202">
        <f t="shared" si="80"/>
        <v>9984</v>
      </c>
      <c r="CW124" s="134">
        <f>CV124*$C$57</f>
        <v>0</v>
      </c>
      <c r="CX124" s="142">
        <f t="shared" si="81"/>
        <v>14926</v>
      </c>
      <c r="CY124" s="134">
        <f>CX124*$C$57</f>
        <v>0</v>
      </c>
      <c r="CZ124" s="142">
        <f t="shared" si="82"/>
        <v>58596</v>
      </c>
      <c r="DA124" s="143">
        <f>CZ124*$C$57</f>
        <v>0</v>
      </c>
      <c r="DB124" s="165">
        <f t="shared" si="120"/>
        <v>53348.545385385965</v>
      </c>
      <c r="DC124" s="140">
        <f t="shared" si="136"/>
        <v>0.3983709221289094</v>
      </c>
      <c r="DD124" s="121" t="str">
        <f>IF($C$50="NEIN","NEIN",IF(DF124&lt;DE124,"JA","NEIN"))</f>
        <v>NEIN</v>
      </c>
      <c r="DE124" s="121">
        <f>DB124*$C$46</f>
        <v>14070.678845395547</v>
      </c>
      <c r="DF124" s="121">
        <f t="shared" si="137"/>
        <v>13195.633691868361</v>
      </c>
      <c r="DG124" s="201">
        <f>IF($C$50="NEIN",DE124,IF(DD124="NEIN",DE124,DF124))</f>
        <v>14070.678845395547</v>
      </c>
      <c r="DH124" s="159"/>
      <c r="DI124" s="74"/>
      <c r="DJ124" s="74"/>
      <c r="DK124" s="128"/>
      <c r="DL124" s="128"/>
      <c r="DM124" s="128"/>
      <c r="DN124" s="74"/>
      <c r="DO124" s="28">
        <f t="shared" si="83"/>
        <v>2065</v>
      </c>
      <c r="DP124" s="17">
        <f>IF($C$13+$C$10&gt;=DO124,-AG124,IF(DO124=$C$13+$C$10+1,$EK$93,0))</f>
        <v>0</v>
      </c>
      <c r="DQ124" s="17">
        <f t="shared" si="84"/>
        <v>1519968.8976372709</v>
      </c>
      <c r="DR124" s="17">
        <f t="shared" si="85"/>
        <v>4453482.2266782308</v>
      </c>
      <c r="DS124" s="17">
        <f t="shared" si="163"/>
        <v>74318.571312811488</v>
      </c>
      <c r="DT124" s="17">
        <f t="shared" si="138"/>
        <v>4844746.853850415</v>
      </c>
      <c r="DU124" s="17">
        <f t="shared" si="86"/>
        <v>316946.05585937295</v>
      </c>
      <c r="DV124" s="33">
        <f t="shared" si="139"/>
        <v>2218.6223910156104</v>
      </c>
      <c r="DW124" s="32">
        <f t="shared" si="140"/>
        <v>96894.937077008304</v>
      </c>
      <c r="DX124" s="17">
        <f t="shared" si="87"/>
        <v>0</v>
      </c>
      <c r="DY124" s="17">
        <f t="shared" si="88"/>
        <v>0</v>
      </c>
      <c r="DZ124" s="17">
        <f t="shared" si="141"/>
        <v>0</v>
      </c>
      <c r="EA124" s="17">
        <f t="shared" si="164"/>
        <v>17677.964007842656</v>
      </c>
      <c r="EB124" s="15">
        <f t="shared" si="165"/>
        <v>79216.973069165644</v>
      </c>
      <c r="EC124" s="15">
        <f>IF(DP124=0,EC123,IF(DO124&lt;=$EK$88+$C$10,ABS(DP124)+EC123,EC123))</f>
        <v>430891.77838569693</v>
      </c>
      <c r="ED124" s="15">
        <f t="shared" si="89"/>
        <v>253037.1136363227</v>
      </c>
      <c r="EE124" s="16">
        <f t="shared" si="90"/>
        <v>4844746.853850415</v>
      </c>
      <c r="EF124" s="15">
        <f t="shared" si="142"/>
        <v>74318.571312811488</v>
      </c>
      <c r="EG124" s="15">
        <f t="shared" si="91"/>
        <v>1089077.1192515744</v>
      </c>
      <c r="EH124" s="16"/>
      <c r="EI124" s="16"/>
      <c r="EJ124"/>
      <c r="EK124"/>
      <c r="EL124"/>
      <c r="EM124" s="28">
        <f t="shared" si="92"/>
        <v>2065</v>
      </c>
      <c r="EN124" s="29">
        <f>IF($C$13+$C$10&gt;=EM124,-(AG124),IF(EM124=$C$13+$C$10+1,$FB$93,0))</f>
        <v>0</v>
      </c>
      <c r="EO124" s="30">
        <f t="shared" si="93"/>
        <v>430891.77838569693</v>
      </c>
      <c r="EP124" s="30">
        <f t="shared" si="94"/>
        <v>5144393.8684710562</v>
      </c>
      <c r="EQ124" s="30">
        <f t="shared" si="166"/>
        <v>0</v>
      </c>
      <c r="ER124" s="25">
        <f t="shared" si="143"/>
        <v>5504501.4392640302</v>
      </c>
      <c r="ES124" s="30">
        <f t="shared" si="95"/>
        <v>360107.57079297397</v>
      </c>
      <c r="ET124" s="26">
        <f t="shared" si="144"/>
        <v>2520.7529955508171</v>
      </c>
      <c r="EU124" s="30">
        <f t="shared" si="96"/>
        <v>2520.7529955508171</v>
      </c>
      <c r="EV124" s="25">
        <f t="shared" si="145"/>
        <v>0</v>
      </c>
      <c r="EW124" s="31">
        <f t="shared" si="97"/>
        <v>35515.267626148299</v>
      </c>
      <c r="EX124" s="27">
        <f>IF(EM124=0,EX123,IF(EM124&lt;=$FB$88+$C$10,ABS(EN124)+EX123,EX123))</f>
        <v>430891.77838569693</v>
      </c>
      <c r="EY124" s="15"/>
      <c r="EZ124"/>
      <c r="FA124"/>
      <c r="FB124"/>
      <c r="FC124" s="74"/>
      <c r="FD124" s="74"/>
      <c r="FE124" s="74"/>
      <c r="FF124" s="74"/>
      <c r="FG124" s="74"/>
      <c r="FH124" s="74"/>
      <c r="FI124" s="74"/>
      <c r="FJ124" s="28">
        <f t="shared" si="98"/>
        <v>2065</v>
      </c>
      <c r="FK124" s="65">
        <f>IF($C$13+$C$10&gt;=FJ124,-AG124,IF(FJ124=$C$13+$C$10+1,$EK$93,0))</f>
        <v>0</v>
      </c>
      <c r="FL124" s="65">
        <f t="shared" si="99"/>
        <v>74118.803999999975</v>
      </c>
      <c r="FM124" s="65">
        <f t="shared" si="100"/>
        <v>570271.68533093634</v>
      </c>
      <c r="FN124" s="65">
        <f t="shared" si="167"/>
        <v>0</v>
      </c>
      <c r="FO124" s="65">
        <f t="shared" si="146"/>
        <v>610190.70330410195</v>
      </c>
      <c r="FP124" s="65">
        <f t="shared" si="101"/>
        <v>39919.01797316561</v>
      </c>
      <c r="FQ124" s="59">
        <f t="shared" si="147"/>
        <v>279.43312581215878</v>
      </c>
      <c r="FR124" s="60">
        <f t="shared" si="148"/>
        <v>12203.814066082039</v>
      </c>
      <c r="FS124" s="65">
        <f t="shared" si="102"/>
        <v>0</v>
      </c>
      <c r="FT124" s="65">
        <f t="shared" si="103"/>
        <v>0</v>
      </c>
      <c r="FU124" s="65">
        <f t="shared" si="149"/>
        <v>0</v>
      </c>
      <c r="FV124" s="65">
        <f t="shared" si="168"/>
        <v>2041.8654219503965</v>
      </c>
      <c r="FW124" s="61">
        <f t="shared" si="169"/>
        <v>10161.948644131642</v>
      </c>
      <c r="FX124" s="61">
        <f>IF(AND(FJ124&lt;=$GF$88+$C$10,FV123&lt;=0,FN124&gt;0),(FJ124-$C$10+1)*AG124+$GF$80,FX123)</f>
        <v>73074.599999999977</v>
      </c>
      <c r="FY124" s="62">
        <f t="shared" si="170"/>
        <v>9.6650060502589614</v>
      </c>
      <c r="FZ124" s="63">
        <f t="shared" si="104"/>
        <v>610190.70330410195</v>
      </c>
      <c r="GA124" s="64">
        <f t="shared" si="105"/>
        <v>11638.197659815029</v>
      </c>
      <c r="GB124" s="64">
        <f t="shared" si="106"/>
        <v>218470.61029798404</v>
      </c>
      <c r="GC124" s="66">
        <f t="shared" si="150"/>
        <v>0</v>
      </c>
      <c r="GD124" s="64">
        <f t="shared" si="107"/>
        <v>1580.6039999999994</v>
      </c>
      <c r="GE124"/>
      <c r="GF124"/>
      <c r="GG124" s="74"/>
      <c r="GH124" s="74"/>
      <c r="GI124" s="28">
        <f t="shared" si="108"/>
        <v>2065</v>
      </c>
      <c r="GJ124" s="9">
        <f>IF($GX$88+$C$10&gt;=GI124,-AG124,IF(GI124=$GX$88+$C$10+1,$FB$93,0))</f>
        <v>0</v>
      </c>
      <c r="GK124" s="5">
        <f t="shared" si="109"/>
        <v>538993.79254041391</v>
      </c>
      <c r="GL124" s="5">
        <f t="shared" si="110"/>
        <v>4460071.3072790317</v>
      </c>
      <c r="GM124" s="35">
        <f t="shared" si="171"/>
        <v>9323.6695164958564</v>
      </c>
      <c r="GN124" s="4">
        <f t="shared" si="151"/>
        <v>4782252.6251712143</v>
      </c>
      <c r="GO124" s="5">
        <f t="shared" si="111"/>
        <v>312857.64837568719</v>
      </c>
      <c r="GP124" s="5">
        <f t="shared" si="152"/>
        <v>2190.0035386298082</v>
      </c>
      <c r="GQ124" s="5">
        <f t="shared" si="112"/>
        <v>2190.0035386298082</v>
      </c>
      <c r="GR124" s="4">
        <f t="shared" si="153"/>
        <v>404.3294033195283</v>
      </c>
      <c r="GS124" s="7">
        <f t="shared" si="113"/>
        <v>29702.811828415583</v>
      </c>
      <c r="GT124" s="107" t="e">
        <f>IF($DG$62=0,EX124,IF(GI124-$C$10+1&lt;=$GF$98,0,#REF!-FX124))</f>
        <v>#REF!</v>
      </c>
      <c r="GU124"/>
      <c r="GV124"/>
      <c r="GW124"/>
      <c r="GX124"/>
      <c r="GY124" s="74"/>
      <c r="GZ124" s="74"/>
      <c r="HA124" s="74"/>
      <c r="HB124" s="74"/>
      <c r="HC124" s="74"/>
      <c r="HD124" s="74"/>
    </row>
    <row r="125" spans="2:212" ht="16.149999999999999" thickBot="1" x14ac:dyDescent="0.55000000000000004">
      <c r="B125" s="333"/>
      <c r="C125" s="75"/>
      <c r="D125" s="75"/>
      <c r="F125" s="75"/>
      <c r="G125" s="75"/>
      <c r="H125" s="75"/>
      <c r="I125" s="75"/>
      <c r="J125" s="75"/>
      <c r="K125" s="75"/>
      <c r="L125" s="75"/>
      <c r="M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AB125" s="117" t="str">
        <f t="shared" si="34"/>
        <v/>
      </c>
      <c r="AC125" s="117" t="str">
        <f t="shared" si="35"/>
        <v/>
      </c>
      <c r="AD125" s="299">
        <f>IF($C$20="NEIN",$C$21,IF($C$22="JA",'HISTORISCHE RENDITEN'!E49,'HISTORISCHE RENDITEN'!D49))</f>
        <v>0.15590000000000001</v>
      </c>
      <c r="AE125" s="129">
        <f t="shared" si="172"/>
        <v>73</v>
      </c>
      <c r="AF125" s="120">
        <f t="shared" si="154"/>
        <v>2066</v>
      </c>
      <c r="AG125" s="122">
        <f t="shared" si="123"/>
        <v>0</v>
      </c>
      <c r="AH125" s="124">
        <f t="shared" si="155"/>
        <v>430891.77838569693</v>
      </c>
      <c r="AI125" s="296">
        <f t="shared" si="114"/>
        <v>1319769.6140551469</v>
      </c>
      <c r="AJ125" s="123">
        <f t="shared" si="67"/>
        <v>0</v>
      </c>
      <c r="AK125" s="124">
        <f t="shared" si="156"/>
        <v>1525521.6968863443</v>
      </c>
      <c r="AL125" s="122">
        <f t="shared" si="124"/>
        <v>205752.08283119742</v>
      </c>
      <c r="AM125" s="122">
        <f>IF($C$25="Ausschütter",0,IF(AL125&gt;=0,(AI125+AJ125)*$C$48*0.7))</f>
        <v>646.68711088702196</v>
      </c>
      <c r="AN125" s="122">
        <f t="shared" si="125"/>
        <v>0</v>
      </c>
      <c r="AO125" s="122">
        <f t="shared" si="39"/>
        <v>646.68711088702196</v>
      </c>
      <c r="AP125" s="122">
        <f t="shared" si="69"/>
        <v>16018.174909745196</v>
      </c>
      <c r="AQ125" s="122">
        <f>IF($C$25="AUSSCHÜTTER",0,IF(AO125*$C$46*$C$49&lt;=$C$47,0,AO125*$C$46*$C$49))</f>
        <v>0</v>
      </c>
      <c r="AR125" s="122">
        <f>IF(AO124*$C$49&gt;$C$47,(AN125)*$C$49*$C$46,IF((AO124+AN125)*$C$49&gt;$C$47,((AO124+AN125)*$C$49-$C$47)*$C$46,0))</f>
        <v>0</v>
      </c>
      <c r="AS125" s="122">
        <f t="shared" si="70"/>
        <v>0</v>
      </c>
      <c r="AT125" s="122">
        <f t="shared" si="157"/>
        <v>430891.77838569693</v>
      </c>
      <c r="AU125" s="122">
        <f t="shared" si="115"/>
        <v>0</v>
      </c>
      <c r="AV125" s="122">
        <f t="shared" si="71"/>
        <v>1525521.6968863443</v>
      </c>
      <c r="AW125" s="122">
        <f t="shared" si="158"/>
        <v>0</v>
      </c>
      <c r="AX125" s="130">
        <f t="shared" si="159"/>
        <v>0</v>
      </c>
      <c r="AY125" s="82">
        <f>IF(AF125&lt;$C$11,$C$15*(1+$C$19)^(AF125-$C$10),0)</f>
        <v>0</v>
      </c>
      <c r="AZ125" s="82">
        <f>$C$14*(1+$C$37)^(AF125-$C$10)</f>
        <v>54682.259020020618</v>
      </c>
      <c r="BA125" s="165">
        <f>IF(AF125&lt;$C$11,0,MAX($C$38*AI125,AZ125))</f>
        <v>54682.259020020618</v>
      </c>
      <c r="BB125" s="82">
        <f>IF(AF125&lt;$C$11,0,MAX($C$38*AI125,AZ125))</f>
        <v>54682.259020020618</v>
      </c>
      <c r="BC125" s="136">
        <f>IF($C$39="JA",CT125,DG125)</f>
        <v>14422.445816530437</v>
      </c>
      <c r="BD125" s="82">
        <f t="shared" si="126"/>
        <v>0</v>
      </c>
      <c r="BE125" s="82">
        <f>IF(AF125&lt;($C$8+$C$30),0,$C$29*12*(1-$C$31))</f>
        <v>0</v>
      </c>
      <c r="BF125" s="82">
        <f>IF(AF125&lt;($C$8+$C$34),0,$C$33*12*(1-$C$35))</f>
        <v>0</v>
      </c>
      <c r="BG125" s="82">
        <f>IF(AF125&lt;$C$11,0,IF(AI125&lt;0,$C$42*(1+$C$44)^(AF125-$C$10),IF(((AL125+BE125+BF125)*$C$41)&lt;$C$42*(1+$C$44)^(AF125-$C$10),$C$42*(1+$C$44)^(AF125-$C$10),IF(((AL125+BE125+BF125)*$C$41)&lt;$C$43*(1+$C$44)^(AF125-$C$10),(AL125+BE125+BF125)*$C$41,IF(((AL125+BE125+BF125+BB125)*$C$41)&lt;$C$43*(1+$C$44)^(AF125-$C$10),((AL125+BE125+BF125+BB125)*$C$41),$C$43*(1+$C$44)^(AF125-$C$10))))))</f>
        <v>21105.500555637056</v>
      </c>
      <c r="BH125" s="82">
        <f t="shared" si="72"/>
        <v>90210.205392188102</v>
      </c>
      <c r="BI125" s="242">
        <f t="shared" si="73"/>
        <v>1525521.6968863443</v>
      </c>
      <c r="BJ125" s="217">
        <f t="shared" si="74"/>
        <v>1435311.4914941562</v>
      </c>
      <c r="BK125" s="118"/>
      <c r="BL125" s="219">
        <f t="shared" si="127"/>
        <v>29</v>
      </c>
      <c r="BM125" s="220">
        <f t="shared" si="128"/>
        <v>46</v>
      </c>
      <c r="BN125" s="220">
        <f t="shared" si="121"/>
        <v>0</v>
      </c>
      <c r="BO125" s="221">
        <f t="shared" si="129"/>
        <v>0</v>
      </c>
      <c r="BP125" s="221">
        <f t="shared" si="130"/>
        <v>0</v>
      </c>
      <c r="BQ125" s="222">
        <f t="shared" si="9"/>
        <v>0</v>
      </c>
      <c r="BR125" s="223">
        <f>IF(BM125&lt;$C$11-$C$10+1,0,IF(BL125&lt;=$C$13,VLOOKUP(BL125,$BN$80:$BQ$156,2,FALSE)-BS125,0))</f>
        <v>0</v>
      </c>
      <c r="BS125" s="223">
        <f>IF(BM125&lt;$C$11-$C$10+1,0,IF(BL125&lt;=$C$13,VLOOKUP(BL125,$BN$80:$BQ$156,3,FALSE),0))</f>
        <v>0</v>
      </c>
      <c r="BT125" s="222">
        <f>IF(BM125&lt;$C$11-$C$10+1,0,IF(BL125&lt;=$C$13,VLOOKUP(BL125,$BN$80:$BQ$156,4,FALSE),0))</f>
        <v>0</v>
      </c>
      <c r="BU125" s="223">
        <f t="shared" si="160"/>
        <v>0</v>
      </c>
      <c r="BV125" s="223">
        <f t="shared" si="161"/>
        <v>0</v>
      </c>
      <c r="BW125" s="223">
        <f t="shared" si="118"/>
        <v>0</v>
      </c>
      <c r="BX125" s="223">
        <f>IF(AND(BS125&lt;=0,BN125=0),MIN((MAX($BZ$80:$BZ$156)-SUM($BX$80:BX124)),CA125),IF(BS125&lt;CA125,BS125,CA125))</f>
        <v>0</v>
      </c>
      <c r="BY125" s="222">
        <f>IF(BN125&gt;0,0,IF(AND(BN125=0,BT125&lt;=0),100%,((BW124*(AVERAGE($BT$80:BT124))+(BR125*BT125))/(BR125+BW124+BS125+BV124))))</f>
        <v>1</v>
      </c>
      <c r="BZ125" s="139">
        <f t="shared" si="162"/>
        <v>430891.77838569693</v>
      </c>
      <c r="CA125" s="122">
        <f t="shared" si="131"/>
        <v>54682.259020020618</v>
      </c>
      <c r="CB125" s="181">
        <f t="shared" si="47"/>
        <v>1</v>
      </c>
      <c r="CC125" s="122">
        <f t="shared" si="48"/>
        <v>1334215.1692434745</v>
      </c>
      <c r="CD125" s="182">
        <f t="shared" si="119"/>
        <v>0</v>
      </c>
      <c r="CE125" s="122">
        <f t="shared" si="75"/>
        <v>430891.77838569693</v>
      </c>
      <c r="CF125" s="122">
        <f t="shared" si="76"/>
        <v>0</v>
      </c>
      <c r="CG125" s="122" t="str">
        <f t="shared" si="132"/>
        <v/>
      </c>
      <c r="CH125" s="140">
        <f t="shared" si="133"/>
        <v>1</v>
      </c>
      <c r="CI125" s="142">
        <f t="shared" si="77"/>
        <v>9984</v>
      </c>
      <c r="CJ125" s="134">
        <f>CI125*$C$57</f>
        <v>0</v>
      </c>
      <c r="CK125" s="142">
        <f t="shared" si="78"/>
        <v>14926</v>
      </c>
      <c r="CL125" s="134">
        <f>CK125*$C$57</f>
        <v>0</v>
      </c>
      <c r="CM125" s="142">
        <f t="shared" si="79"/>
        <v>58596</v>
      </c>
      <c r="CN125" s="134">
        <f>CM125*$C$57</f>
        <v>0</v>
      </c>
      <c r="CO125" s="132">
        <f t="shared" si="117"/>
        <v>54682.259020020618</v>
      </c>
      <c r="CP125" s="140">
        <f t="shared" si="134"/>
        <v>0.40386825334563115</v>
      </c>
      <c r="CQ125" s="121" t="str">
        <f>IF($C$50="NEIN","NEIN",IF(CS125&lt;CR125,"JA","NEIN"))</f>
        <v>NEIN</v>
      </c>
      <c r="CR125" s="121">
        <f>CO125*$C$46</f>
        <v>14422.445816530437</v>
      </c>
      <c r="CS125" s="121">
        <f t="shared" si="135"/>
        <v>13730.56556607335</v>
      </c>
      <c r="CT125" s="201">
        <f>IF($C$50="NEIN",CR125,IF(CQ125="NEIN",CR125,CS125))</f>
        <v>14422.445816530437</v>
      </c>
      <c r="CU125" s="149"/>
      <c r="CV125" s="202">
        <f t="shared" si="80"/>
        <v>9984</v>
      </c>
      <c r="CW125" s="134">
        <f>CV125*$C$57</f>
        <v>0</v>
      </c>
      <c r="CX125" s="142">
        <f t="shared" si="81"/>
        <v>14926</v>
      </c>
      <c r="CY125" s="134">
        <f>CX125*$C$57</f>
        <v>0</v>
      </c>
      <c r="CZ125" s="142">
        <f t="shared" si="82"/>
        <v>58596</v>
      </c>
      <c r="DA125" s="143">
        <f>CZ125*$C$57</f>
        <v>0</v>
      </c>
      <c r="DB125" s="165">
        <f t="shared" si="120"/>
        <v>54682.259020020618</v>
      </c>
      <c r="DC125" s="140">
        <f t="shared" si="136"/>
        <v>0.40386825334563115</v>
      </c>
      <c r="DD125" s="121" t="str">
        <f>IF($C$50="NEIN","NEIN",IF(DF125&lt;DE125,"JA","NEIN"))</f>
        <v>NEIN</v>
      </c>
      <c r="DE125" s="121">
        <f>DB125*$C$46</f>
        <v>14422.445816530437</v>
      </c>
      <c r="DF125" s="121">
        <f t="shared" si="137"/>
        <v>13730.56556607335</v>
      </c>
      <c r="DG125" s="201">
        <f>IF($C$50="NEIN",DE125,IF(DD125="NEIN",DE125,DF125))</f>
        <v>14422.445816530437</v>
      </c>
      <c r="DH125" s="159"/>
      <c r="DI125" s="74"/>
      <c r="DJ125" s="74"/>
      <c r="DK125" s="128"/>
      <c r="DL125" s="128"/>
      <c r="DM125" s="128"/>
      <c r="DN125" s="74"/>
      <c r="DO125" s="28">
        <f t="shared" si="83"/>
        <v>2066</v>
      </c>
      <c r="DP125" s="17">
        <f>IF($C$13+$C$10&gt;=DO125,-AG125,IF(DO125=$C$13+$C$10+1,$EK$93,0))</f>
        <v>0</v>
      </c>
      <c r="DQ125" s="17">
        <f t="shared" si="84"/>
        <v>1599185.8707064365</v>
      </c>
      <c r="DR125" s="17">
        <f t="shared" si="85"/>
        <v>4747851.9167734068</v>
      </c>
      <c r="DS125" s="17">
        <f t="shared" si="163"/>
        <v>79216.973069165644</v>
      </c>
      <c r="DT125" s="17">
        <f t="shared" si="138"/>
        <v>5164963.7121315533</v>
      </c>
      <c r="DU125" s="17">
        <f t="shared" si="86"/>
        <v>337894.82228898071</v>
      </c>
      <c r="DV125" s="33">
        <f t="shared" si="139"/>
        <v>2365.2637560228604</v>
      </c>
      <c r="DW125" s="32">
        <f t="shared" si="140"/>
        <v>103299.27424263107</v>
      </c>
      <c r="DX125" s="17">
        <f t="shared" si="87"/>
        <v>0</v>
      </c>
      <c r="DY125" s="17">
        <f t="shared" si="88"/>
        <v>0</v>
      </c>
      <c r="DZ125" s="17">
        <f t="shared" si="141"/>
        <v>0</v>
      </c>
      <c r="EA125" s="17">
        <f t="shared" si="164"/>
        <v>18860.364757045762</v>
      </c>
      <c r="EB125" s="15">
        <f t="shared" si="165"/>
        <v>84438.909485585318</v>
      </c>
      <c r="EC125" s="15">
        <f>IF(DP125=0,EC124,IF(DO125&lt;=$EK$88+$C$10,ABS(DP125)+EC124,EC124))</f>
        <v>430891.77838569693</v>
      </c>
      <c r="ED125" s="15">
        <f t="shared" si="89"/>
        <v>271897.47839336848</v>
      </c>
      <c r="EE125" s="16">
        <f t="shared" si="90"/>
        <v>5164963.7121315533</v>
      </c>
      <c r="EF125" s="15">
        <f t="shared" si="142"/>
        <v>79216.973069165644</v>
      </c>
      <c r="EG125" s="15">
        <f t="shared" si="91"/>
        <v>1168294.09232074</v>
      </c>
      <c r="EH125" s="16"/>
      <c r="EI125" s="16"/>
      <c r="EJ125"/>
      <c r="EK125"/>
      <c r="EL125"/>
      <c r="EM125" s="28">
        <f t="shared" si="92"/>
        <v>2066</v>
      </c>
      <c r="EN125" s="29">
        <f>IF($C$13+$C$10&gt;=EM125,-(AG125),IF(EM125=$C$13+$C$10+1,$FB$93,0))</f>
        <v>0</v>
      </c>
      <c r="EO125" s="30">
        <f t="shared" si="93"/>
        <v>430891.77838569693</v>
      </c>
      <c r="EP125" s="30">
        <f t="shared" si="94"/>
        <v>5504501.4392640302</v>
      </c>
      <c r="EQ125" s="30">
        <f t="shared" si="166"/>
        <v>0</v>
      </c>
      <c r="ER125" s="25">
        <f t="shared" si="143"/>
        <v>5889816.5400125124</v>
      </c>
      <c r="ES125" s="30">
        <f t="shared" si="95"/>
        <v>385315.10074848216</v>
      </c>
      <c r="ET125" s="26">
        <f t="shared" si="144"/>
        <v>2697.2057052393748</v>
      </c>
      <c r="EU125" s="30">
        <f t="shared" si="96"/>
        <v>2697.2057052393748</v>
      </c>
      <c r="EV125" s="25">
        <f t="shared" si="145"/>
        <v>0</v>
      </c>
      <c r="EW125" s="31">
        <f t="shared" si="97"/>
        <v>38212.473331387671</v>
      </c>
      <c r="EX125" s="27">
        <f>IF(EM125=0,EX124,IF(EM125&lt;=$FB$88+$C$10,ABS(EN125)+EX124,EX124))</f>
        <v>430891.77838569693</v>
      </c>
      <c r="EY125" s="15"/>
      <c r="EZ125"/>
      <c r="FA125"/>
      <c r="FB125"/>
      <c r="FC125" s="74"/>
      <c r="FD125" s="74"/>
      <c r="FE125" s="74"/>
      <c r="FF125" s="74"/>
      <c r="FG125" s="74"/>
      <c r="FH125" s="74"/>
      <c r="FI125" s="74"/>
      <c r="FJ125" s="28">
        <f t="shared" si="98"/>
        <v>2066</v>
      </c>
      <c r="FK125" s="65">
        <f>IF($C$13+$C$10&gt;=FJ125,-AG125,IF(FJ125=$C$13+$C$10+1,$EK$93,0))</f>
        <v>0</v>
      </c>
      <c r="FL125" s="65">
        <f t="shared" si="99"/>
        <v>74118.803999999975</v>
      </c>
      <c r="FM125" s="65">
        <f t="shared" si="100"/>
        <v>597986.88923801994</v>
      </c>
      <c r="FN125" s="65">
        <f t="shared" si="167"/>
        <v>0</v>
      </c>
      <c r="FO125" s="65">
        <f t="shared" si="146"/>
        <v>639845.97148468136</v>
      </c>
      <c r="FP125" s="65">
        <f t="shared" si="101"/>
        <v>41859.082246661419</v>
      </c>
      <c r="FQ125" s="59">
        <f t="shared" si="147"/>
        <v>293.01357572662971</v>
      </c>
      <c r="FR125" s="60">
        <f t="shared" si="148"/>
        <v>12796.919429693628</v>
      </c>
      <c r="FS125" s="65">
        <f t="shared" si="102"/>
        <v>0</v>
      </c>
      <c r="FT125" s="65">
        <f t="shared" si="103"/>
        <v>0</v>
      </c>
      <c r="FU125" s="65">
        <f t="shared" si="149"/>
        <v>0</v>
      </c>
      <c r="FV125" s="65">
        <f t="shared" si="168"/>
        <v>2151.3674997071857</v>
      </c>
      <c r="FW125" s="61">
        <f t="shared" si="169"/>
        <v>10645.551929986443</v>
      </c>
      <c r="FX125" s="61">
        <f>IF(AND(FJ125&lt;=$GF$88+$C$10,FV124&lt;=0,FN125&gt;0),(FJ125-$C$10+1)*AG125+$GF$80,FX124)</f>
        <v>73074.599999999977</v>
      </c>
      <c r="FY125" s="62">
        <f t="shared" si="170"/>
        <v>10.183325344301545</v>
      </c>
      <c r="FZ125" s="63">
        <f t="shared" si="104"/>
        <v>639845.97148468136</v>
      </c>
      <c r="GA125" s="64">
        <f t="shared" si="105"/>
        <v>12203.814066082039</v>
      </c>
      <c r="GB125" s="64">
        <f t="shared" si="106"/>
        <v>230674.42436406607</v>
      </c>
      <c r="GC125" s="66">
        <f t="shared" si="150"/>
        <v>0</v>
      </c>
      <c r="GD125" s="64">
        <f t="shared" si="107"/>
        <v>1580.6039999999994</v>
      </c>
      <c r="GE125"/>
      <c r="GF125"/>
      <c r="GG125" s="74"/>
      <c r="GH125" s="74"/>
      <c r="GI125" s="28">
        <f t="shared" si="108"/>
        <v>2066</v>
      </c>
      <c r="GJ125" s="9">
        <f>IF($GX$88+$C$10&gt;=GI125,-AG125,IF(GI125=$GX$88+$C$10+1,$FB$93,0))</f>
        <v>0</v>
      </c>
      <c r="GK125" s="5">
        <f t="shared" si="109"/>
        <v>548751.41178122605</v>
      </c>
      <c r="GL125" s="5">
        <f t="shared" si="110"/>
        <v>4782252.6251712143</v>
      </c>
      <c r="GM125" s="35">
        <f t="shared" si="171"/>
        <v>9757.6192408121133</v>
      </c>
      <c r="GN125" s="4">
        <f t="shared" si="151"/>
        <v>5127450.9615208684</v>
      </c>
      <c r="GO125" s="5">
        <f t="shared" si="111"/>
        <v>335440.71710884199</v>
      </c>
      <c r="GP125" s="5">
        <f t="shared" si="152"/>
        <v>2348.0850197618929</v>
      </c>
      <c r="GQ125" s="5">
        <f t="shared" si="112"/>
        <v>2348.0850197618929</v>
      </c>
      <c r="GR125" s="4">
        <f t="shared" si="153"/>
        <v>433.51519677353946</v>
      </c>
      <c r="GS125" s="7">
        <f t="shared" si="113"/>
        <v>32050.896848177475</v>
      </c>
      <c r="GT125" s="107" t="e">
        <f>IF($DG$62=0,EX125,IF(GI125-$C$10+1&lt;=$GF$98,0,#REF!-FX125))</f>
        <v>#REF!</v>
      </c>
      <c r="GU125"/>
      <c r="GV125"/>
      <c r="GW125"/>
      <c r="GX125"/>
      <c r="GY125" s="74"/>
      <c r="GZ125" s="74"/>
      <c r="HA125" s="74"/>
      <c r="HB125" s="74"/>
      <c r="HC125" s="74"/>
      <c r="HD125" s="74"/>
    </row>
    <row r="126" spans="2:212" ht="16.149999999999999" thickBot="1" x14ac:dyDescent="0.55000000000000004">
      <c r="B126" s="333"/>
      <c r="C126" s="75"/>
      <c r="D126" s="75"/>
      <c r="F126" s="75"/>
      <c r="G126" s="75"/>
      <c r="H126" s="75"/>
      <c r="I126" s="75"/>
      <c r="J126" s="75"/>
      <c r="K126" s="75"/>
      <c r="L126" s="75"/>
      <c r="M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AB126" s="117" t="str">
        <f t="shared" si="34"/>
        <v/>
      </c>
      <c r="AC126" s="117" t="str">
        <f t="shared" si="35"/>
        <v/>
      </c>
      <c r="AD126" s="299">
        <f>IF($C$20="NEIN",$C$21,IF($C$22="JA",'HISTORISCHE RENDITEN'!E50,'HISTORISCHE RENDITEN'!D50))</f>
        <v>0.1996</v>
      </c>
      <c r="AE126" s="129">
        <f t="shared" si="172"/>
        <v>74</v>
      </c>
      <c r="AF126" s="120">
        <f t="shared" si="154"/>
        <v>2067</v>
      </c>
      <c r="AG126" s="122">
        <f t="shared" si="123"/>
        <v>0</v>
      </c>
      <c r="AH126" s="124">
        <f t="shared" si="155"/>
        <v>430891.77838569693</v>
      </c>
      <c r="AI126" s="296">
        <f t="shared" si="114"/>
        <v>1435311.4914941562</v>
      </c>
      <c r="AJ126" s="123">
        <f t="shared" si="67"/>
        <v>0</v>
      </c>
      <c r="AK126" s="124">
        <f t="shared" si="156"/>
        <v>1721799.6651963897</v>
      </c>
      <c r="AL126" s="122">
        <f t="shared" si="124"/>
        <v>286488.17370223347</v>
      </c>
      <c r="AM126" s="122">
        <f>IF($C$25="Ausschütter",0,IF(AL126&gt;=0,(AI126+AJ126)*$C$48*0.7))</f>
        <v>703.30263083213651</v>
      </c>
      <c r="AN126" s="122">
        <f t="shared" si="125"/>
        <v>0</v>
      </c>
      <c r="AO126" s="122">
        <f t="shared" si="39"/>
        <v>703.30263083213651</v>
      </c>
      <c r="AP126" s="122">
        <f t="shared" si="69"/>
        <v>16721.477540577333</v>
      </c>
      <c r="AQ126" s="122">
        <f>IF($C$25="AUSSCHÜTTER",0,IF(AO126*$C$46*$C$49&lt;=$C$47,0,AO126*$C$46*$C$49))</f>
        <v>0</v>
      </c>
      <c r="AR126" s="122">
        <f>IF(AO125*$C$49&gt;$C$47,(AN126)*$C$49*$C$46,IF((AO125+AN126)*$C$49&gt;$C$47,((AO125+AN126)*$C$49-$C$47)*$C$46,0))</f>
        <v>0</v>
      </c>
      <c r="AS126" s="122">
        <f t="shared" si="70"/>
        <v>0</v>
      </c>
      <c r="AT126" s="122">
        <f t="shared" si="157"/>
        <v>430891.77838569693</v>
      </c>
      <c r="AU126" s="122">
        <f t="shared" si="115"/>
        <v>0</v>
      </c>
      <c r="AV126" s="122">
        <f t="shared" si="71"/>
        <v>1721799.6651963897</v>
      </c>
      <c r="AW126" s="122">
        <f t="shared" si="158"/>
        <v>0</v>
      </c>
      <c r="AX126" s="130">
        <f t="shared" si="159"/>
        <v>0</v>
      </c>
      <c r="AY126" s="82">
        <f>IF(AF126&lt;$C$11,$C$15*(1+$C$19)^(AF126-$C$10),0)</f>
        <v>0</v>
      </c>
      <c r="AZ126" s="82">
        <f>$C$14*(1+$C$37)^(AF126-$C$10)</f>
        <v>56049.315495521121</v>
      </c>
      <c r="BA126" s="165">
        <f>IF(AF126&lt;$C$11,0,MAX($C$38*AI126,AZ126))</f>
        <v>56049.315495521121</v>
      </c>
      <c r="BB126" s="82">
        <f>IF(AF126&lt;$C$11,0,MAX($C$38*AI126,AZ126))</f>
        <v>56049.315495521121</v>
      </c>
      <c r="BC126" s="136">
        <f>IF($C$39="JA",CT126,DG126)</f>
        <v>14783.006961943694</v>
      </c>
      <c r="BD126" s="82">
        <f t="shared" si="126"/>
        <v>0</v>
      </c>
      <c r="BE126" s="82">
        <f>IF(AF126&lt;($C$8+$C$30),0,$C$29*12*(1-$C$31))</f>
        <v>0</v>
      </c>
      <c r="BF126" s="82">
        <f>IF(AF126&lt;($C$8+$C$34),0,$C$33*12*(1-$C$35))</f>
        <v>0</v>
      </c>
      <c r="BG126" s="82">
        <f>IF(AF126&lt;$C$11,0,IF(AI126&lt;0,$C$42*(1+$C$44)^(AF126-$C$10),IF(((AL126+BE126+BF126)*$C$41)&lt;$C$42*(1+$C$44)^(AF126-$C$10),$C$42*(1+$C$44)^(AF126-$C$10),IF(((AL126+BE126+BF126)*$C$41)&lt;$C$43*(1+$C$44)^(AF126-$C$10),(AL126+BE126+BF126)*$C$41,IF(((AL126+BE126+BF126+BB126)*$C$41)&lt;$C$43*(1+$C$44)^(AF126-$C$10),((AL126+BE126+BF126+BB126)*$C$41),$C$43*(1+$C$44)^(AF126-$C$10))))))</f>
        <v>21422.083063971604</v>
      </c>
      <c r="BH126" s="82">
        <f t="shared" si="72"/>
        <v>92254.40552143642</v>
      </c>
      <c r="BI126" s="242">
        <f t="shared" si="73"/>
        <v>1721799.6651963897</v>
      </c>
      <c r="BJ126" s="217">
        <f t="shared" si="74"/>
        <v>1629545.2596749533</v>
      </c>
      <c r="BK126" s="118"/>
      <c r="BL126" s="219">
        <f t="shared" si="127"/>
        <v>30</v>
      </c>
      <c r="BM126" s="220">
        <f t="shared" si="128"/>
        <v>47</v>
      </c>
      <c r="BN126" s="220">
        <f t="shared" si="121"/>
        <v>0</v>
      </c>
      <c r="BO126" s="221">
        <f t="shared" si="129"/>
        <v>0</v>
      </c>
      <c r="BP126" s="221">
        <f t="shared" si="130"/>
        <v>0</v>
      </c>
      <c r="BQ126" s="222">
        <f t="shared" si="9"/>
        <v>0</v>
      </c>
      <c r="BR126" s="223">
        <f>IF(BM126&lt;$C$11-$C$10+1,0,IF(BL126&lt;=$C$13,VLOOKUP(BL126,$BN$80:$BQ$156,2,FALSE)-BS126,0))</f>
        <v>0</v>
      </c>
      <c r="BS126" s="223">
        <f>IF(BM126&lt;$C$11-$C$10+1,0,IF(BL126&lt;=$C$13,VLOOKUP(BL126,$BN$80:$BQ$156,3,FALSE),0))</f>
        <v>0</v>
      </c>
      <c r="BT126" s="222">
        <f>IF(BM126&lt;$C$11-$C$10+1,0,IF(BL126&lt;=$C$13,VLOOKUP(BL126,$BN$80:$BQ$156,4,FALSE),0))</f>
        <v>0</v>
      </c>
      <c r="BU126" s="223">
        <f t="shared" si="160"/>
        <v>0</v>
      </c>
      <c r="BV126" s="223">
        <f t="shared" si="161"/>
        <v>0</v>
      </c>
      <c r="BW126" s="223">
        <f t="shared" si="118"/>
        <v>0</v>
      </c>
      <c r="BX126" s="223">
        <f>IF(AND(BS126&lt;=0,BN126=0),MIN((MAX($BZ$80:$BZ$156)-SUM($BX$80:BX125)),CA126),IF(BS126&lt;CA126,BS126,CA126))</f>
        <v>0</v>
      </c>
      <c r="BY126" s="222">
        <f>IF(BN126&gt;0,0,IF(AND(BN126=0,BT126&lt;=0),100%,((BW125*(AVERAGE($BT$80:BT125))+(BR126*BT126))/(BR126+BW125+BS126+BV125))))</f>
        <v>1</v>
      </c>
      <c r="BZ126" s="139">
        <f t="shared" si="162"/>
        <v>430891.77838569693</v>
      </c>
      <c r="CA126" s="122">
        <f t="shared" si="131"/>
        <v>56049.315495521121</v>
      </c>
      <c r="CB126" s="181">
        <f t="shared" si="47"/>
        <v>1</v>
      </c>
      <c r="CC126" s="122">
        <f t="shared" si="48"/>
        <v>1390264.4847389956</v>
      </c>
      <c r="CD126" s="182">
        <f t="shared" si="119"/>
        <v>0</v>
      </c>
      <c r="CE126" s="122">
        <f t="shared" si="75"/>
        <v>430891.77838569693</v>
      </c>
      <c r="CF126" s="122">
        <f t="shared" si="76"/>
        <v>0</v>
      </c>
      <c r="CG126" s="122" t="str">
        <f t="shared" si="132"/>
        <v/>
      </c>
      <c r="CH126" s="140">
        <f t="shared" si="133"/>
        <v>1</v>
      </c>
      <c r="CI126" s="142">
        <f t="shared" si="77"/>
        <v>9984</v>
      </c>
      <c r="CJ126" s="134">
        <f>CI126*$C$57</f>
        <v>0</v>
      </c>
      <c r="CK126" s="142">
        <f t="shared" si="78"/>
        <v>14926</v>
      </c>
      <c r="CL126" s="134">
        <f>CK126*$C$57</f>
        <v>0</v>
      </c>
      <c r="CM126" s="142">
        <f t="shared" si="79"/>
        <v>58596</v>
      </c>
      <c r="CN126" s="134">
        <f>CM126*$C$57</f>
        <v>0</v>
      </c>
      <c r="CO126" s="132">
        <f t="shared" si="117"/>
        <v>56049.315495521121</v>
      </c>
      <c r="CP126" s="140">
        <f t="shared" si="134"/>
        <v>0.40950301784277082</v>
      </c>
      <c r="CQ126" s="121" t="str">
        <f>IF($C$50="NEIN","NEIN",IF(CS126&lt;CR126,"JA","NEIN"))</f>
        <v>NEIN</v>
      </c>
      <c r="CR126" s="121">
        <f>CO126*$C$46</f>
        <v>14783.006961943694</v>
      </c>
      <c r="CS126" s="121">
        <f t="shared" si="135"/>
        <v>14286.492350037979</v>
      </c>
      <c r="CT126" s="201">
        <f>IF($C$50="NEIN",CR126,IF(CQ126="NEIN",CR126,CS126))</f>
        <v>14783.006961943694</v>
      </c>
      <c r="CU126" s="149"/>
      <c r="CV126" s="202">
        <f t="shared" si="80"/>
        <v>9984</v>
      </c>
      <c r="CW126" s="134">
        <f>CV126*$C$57</f>
        <v>0</v>
      </c>
      <c r="CX126" s="142">
        <f t="shared" si="81"/>
        <v>14926</v>
      </c>
      <c r="CY126" s="134">
        <f>CX126*$C$57</f>
        <v>0</v>
      </c>
      <c r="CZ126" s="142">
        <f t="shared" si="82"/>
        <v>58596</v>
      </c>
      <c r="DA126" s="143">
        <f>CZ126*$C$57</f>
        <v>0</v>
      </c>
      <c r="DB126" s="165">
        <f t="shared" si="120"/>
        <v>56049.315495521121</v>
      </c>
      <c r="DC126" s="140">
        <f t="shared" si="136"/>
        <v>0.40950301784277082</v>
      </c>
      <c r="DD126" s="121" t="str">
        <f>IF($C$50="NEIN","NEIN",IF(DF126&lt;DE126,"JA","NEIN"))</f>
        <v>NEIN</v>
      </c>
      <c r="DE126" s="121">
        <f>DB126*$C$46</f>
        <v>14783.006961943694</v>
      </c>
      <c r="DF126" s="121">
        <f t="shared" si="137"/>
        <v>14286.492350037979</v>
      </c>
      <c r="DG126" s="201">
        <f>IF($C$50="NEIN",DE126,IF(DD126="NEIN",DE126,DF126))</f>
        <v>14783.006961943694</v>
      </c>
      <c r="DH126" s="159"/>
      <c r="DI126" s="74"/>
      <c r="DJ126" s="74"/>
      <c r="DK126" s="128"/>
      <c r="DL126" s="128"/>
      <c r="DM126" s="128"/>
      <c r="DN126" s="74"/>
      <c r="DO126" s="28">
        <f t="shared" si="83"/>
        <v>2067</v>
      </c>
      <c r="DP126" s="17">
        <f>IF($C$13+$C$10&gt;=DO126,-AG126,IF(DO126=$C$13+$C$10+1,$EK$93,0))</f>
        <v>0</v>
      </c>
      <c r="DQ126" s="17">
        <f t="shared" si="84"/>
        <v>1683624.7801920217</v>
      </c>
      <c r="DR126" s="17">
        <f t="shared" si="85"/>
        <v>5061664.4378889222</v>
      </c>
      <c r="DS126" s="17">
        <f t="shared" si="163"/>
        <v>84438.909485585318</v>
      </c>
      <c r="DT126" s="17">
        <f t="shared" si="138"/>
        <v>5506330.5816907231</v>
      </c>
      <c r="DU126" s="17">
        <f t="shared" si="86"/>
        <v>360227.23431621585</v>
      </c>
      <c r="DV126" s="33">
        <f t="shared" si="139"/>
        <v>2521.5906402135083</v>
      </c>
      <c r="DW126" s="32">
        <f t="shared" si="140"/>
        <v>110126.61163381446</v>
      </c>
      <c r="DX126" s="17">
        <f t="shared" si="87"/>
        <v>0</v>
      </c>
      <c r="DY126" s="17">
        <f t="shared" si="88"/>
        <v>0</v>
      </c>
      <c r="DZ126" s="17">
        <f t="shared" si="141"/>
        <v>0</v>
      </c>
      <c r="EA126" s="17">
        <f t="shared" si="164"/>
        <v>20120.861922892993</v>
      </c>
      <c r="EB126" s="15">
        <f t="shared" si="165"/>
        <v>90005.749710921475</v>
      </c>
      <c r="EC126" s="15">
        <f>IF(DP126=0,EC125,IF(DO126&lt;=$EK$88+$C$10,ABS(DP126)+EC125,EC125))</f>
        <v>430891.77838569693</v>
      </c>
      <c r="ED126" s="15">
        <f t="shared" si="89"/>
        <v>292018.34031626146</v>
      </c>
      <c r="EE126" s="16">
        <f t="shared" si="90"/>
        <v>5506330.5816907231</v>
      </c>
      <c r="EF126" s="15">
        <f t="shared" si="142"/>
        <v>84438.909485585318</v>
      </c>
      <c r="EG126" s="15">
        <f t="shared" si="91"/>
        <v>1252733.0018063253</v>
      </c>
      <c r="EH126" s="16"/>
      <c r="EI126" s="16"/>
      <c r="EJ126"/>
      <c r="EK126"/>
      <c r="EL126"/>
      <c r="EM126" s="28">
        <f t="shared" si="92"/>
        <v>2067</v>
      </c>
      <c r="EN126" s="29">
        <f>IF($C$13+$C$10&gt;=EM126,-(AG126),IF(EM126=$C$13+$C$10+1,$FB$93,0))</f>
        <v>0</v>
      </c>
      <c r="EO126" s="30">
        <f t="shared" si="93"/>
        <v>430891.77838569693</v>
      </c>
      <c r="EP126" s="30">
        <f t="shared" si="94"/>
        <v>5889816.5400125124</v>
      </c>
      <c r="EQ126" s="30">
        <f t="shared" si="166"/>
        <v>0</v>
      </c>
      <c r="ER126" s="25">
        <f t="shared" si="143"/>
        <v>6302103.6978133889</v>
      </c>
      <c r="ES126" s="30">
        <f t="shared" si="95"/>
        <v>412287.15780087654</v>
      </c>
      <c r="ET126" s="26">
        <f t="shared" si="144"/>
        <v>2886.0101046061309</v>
      </c>
      <c r="EU126" s="30">
        <f t="shared" si="96"/>
        <v>2886.0101046061309</v>
      </c>
      <c r="EV126" s="25">
        <f t="shared" si="145"/>
        <v>0</v>
      </c>
      <c r="EW126" s="31">
        <f t="shared" si="97"/>
        <v>41098.483435993803</v>
      </c>
      <c r="EX126" s="27">
        <f>IF(EM126=0,EX125,IF(EM126&lt;=$FB$88+$C$10,ABS(EN126)+EX125,EX125))</f>
        <v>430891.77838569693</v>
      </c>
      <c r="EY126" s="15"/>
      <c r="EZ126"/>
      <c r="FA126"/>
      <c r="FB126"/>
      <c r="FC126" s="74"/>
      <c r="FD126" s="74"/>
      <c r="FE126" s="74"/>
      <c r="FF126" s="74"/>
      <c r="FG126" s="74"/>
      <c r="FH126" s="74"/>
      <c r="FI126" s="74"/>
      <c r="FJ126" s="28">
        <f t="shared" si="98"/>
        <v>2067</v>
      </c>
      <c r="FK126" s="65">
        <f>IF($C$13+$C$10&gt;=FJ126,-AG126,IF(FJ126=$C$13+$C$10+1,$EK$93,0))</f>
        <v>0</v>
      </c>
      <c r="FL126" s="65">
        <f t="shared" si="99"/>
        <v>74118.803999999975</v>
      </c>
      <c r="FM126" s="65">
        <f t="shared" si="100"/>
        <v>627049.05205498775</v>
      </c>
      <c r="FN126" s="65">
        <f t="shared" si="167"/>
        <v>0</v>
      </c>
      <c r="FO126" s="65">
        <f t="shared" si="146"/>
        <v>670942.48569883697</v>
      </c>
      <c r="FP126" s="65">
        <f t="shared" si="101"/>
        <v>43893.433643849217</v>
      </c>
      <c r="FQ126" s="59">
        <f t="shared" si="147"/>
        <v>307.25403550694398</v>
      </c>
      <c r="FR126" s="60">
        <f t="shared" si="148"/>
        <v>13418.849713976741</v>
      </c>
      <c r="FS126" s="65">
        <f t="shared" si="102"/>
        <v>0</v>
      </c>
      <c r="FT126" s="65">
        <f t="shared" si="103"/>
        <v>0</v>
      </c>
      <c r="FU126" s="65">
        <f t="shared" si="149"/>
        <v>0</v>
      </c>
      <c r="FV126" s="65">
        <f t="shared" si="168"/>
        <v>2266.1913784429553</v>
      </c>
      <c r="FW126" s="61">
        <f t="shared" si="169"/>
        <v>11152.658335533786</v>
      </c>
      <c r="FX126" s="61">
        <f>IF(AND(FJ126&lt;=$GF$88+$C$10,FV125&lt;=0,FN126&gt;0),(FJ126-$C$10+1)*AG126+$GF$80,FX125)</f>
        <v>73074.599999999977</v>
      </c>
      <c r="FY126" s="62">
        <f t="shared" si="170"/>
        <v>10.726834956034605</v>
      </c>
      <c r="FZ126" s="63">
        <f t="shared" si="104"/>
        <v>670942.48569883697</v>
      </c>
      <c r="GA126" s="64">
        <f t="shared" si="105"/>
        <v>12796.919429693628</v>
      </c>
      <c r="GB126" s="64">
        <f t="shared" si="106"/>
        <v>243471.3437937597</v>
      </c>
      <c r="GC126" s="66">
        <f t="shared" si="150"/>
        <v>0</v>
      </c>
      <c r="GD126" s="64">
        <f t="shared" si="107"/>
        <v>1580.6039999999994</v>
      </c>
      <c r="GE126"/>
      <c r="GF126"/>
      <c r="GG126" s="74"/>
      <c r="GH126" s="74"/>
      <c r="GI126" s="28">
        <f t="shared" si="108"/>
        <v>2067</v>
      </c>
      <c r="GJ126" s="9">
        <f>IF($GX$88+$C$10&gt;=GI126,-AG126,IF(GI126=$GX$88+$C$10+1,$FB$93,0))</f>
        <v>0</v>
      </c>
      <c r="GK126" s="5">
        <f t="shared" si="109"/>
        <v>558963.44851443893</v>
      </c>
      <c r="GL126" s="5">
        <f t="shared" si="110"/>
        <v>5127450.9615208684</v>
      </c>
      <c r="GM126" s="35">
        <f t="shared" si="171"/>
        <v>10212.036733212903</v>
      </c>
      <c r="GN126" s="4">
        <f t="shared" si="151"/>
        <v>5497299.4081318676</v>
      </c>
      <c r="GO126" s="5">
        <f t="shared" si="111"/>
        <v>359636.40987778641</v>
      </c>
      <c r="GP126" s="5">
        <f t="shared" si="152"/>
        <v>2517.4548691444998</v>
      </c>
      <c r="GQ126" s="5">
        <f t="shared" si="112"/>
        <v>2517.4548691444998</v>
      </c>
      <c r="GR126" s="4">
        <f t="shared" si="153"/>
        <v>464.78510521580318</v>
      </c>
      <c r="GS126" s="7">
        <f t="shared" si="113"/>
        <v>34568.351717321973</v>
      </c>
      <c r="GT126" s="107" t="e">
        <f>IF($DG$62=0,EX126,IF(GI126-$C$10+1&lt;=$GF$98,0,#REF!-FX126))</f>
        <v>#REF!</v>
      </c>
      <c r="GU126"/>
      <c r="GV126"/>
      <c r="GW126"/>
      <c r="GX126"/>
      <c r="GY126" s="74"/>
      <c r="GZ126" s="74"/>
      <c r="HA126" s="74"/>
      <c r="HB126" s="74"/>
      <c r="HC126" s="74"/>
      <c r="HD126" s="74"/>
    </row>
    <row r="127" spans="2:212" ht="16.149999999999999" thickBot="1" x14ac:dyDescent="0.55000000000000004">
      <c r="B127" s="333"/>
      <c r="C127" s="75"/>
      <c r="D127" s="75"/>
      <c r="F127" s="75"/>
      <c r="G127" s="75"/>
      <c r="H127" s="75"/>
      <c r="I127" s="75"/>
      <c r="J127" s="75"/>
      <c r="K127" s="75"/>
      <c r="L127" s="75"/>
      <c r="M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AB127" s="117" t="str">
        <f t="shared" si="34"/>
        <v/>
      </c>
      <c r="AC127" s="117" t="str">
        <f t="shared" si="35"/>
        <v/>
      </c>
      <c r="AD127" s="299">
        <f>IF($C$20="NEIN",$C$21,IF($C$22="JA",'HISTORISCHE RENDITEN'!E51,'HISTORISCHE RENDITEN'!D51))</f>
        <v>-0.17079999999999998</v>
      </c>
      <c r="AE127" s="129">
        <f t="shared" si="172"/>
        <v>75</v>
      </c>
      <c r="AF127" s="120">
        <f t="shared" si="154"/>
        <v>2068</v>
      </c>
      <c r="AG127" s="122">
        <f t="shared" si="123"/>
        <v>0</v>
      </c>
      <c r="AH127" s="124">
        <f t="shared" si="155"/>
        <v>430891.77838569693</v>
      </c>
      <c r="AI127" s="296">
        <f t="shared" si="114"/>
        <v>1629545.2596749533</v>
      </c>
      <c r="AJ127" s="123">
        <f t="shared" si="67"/>
        <v>0</v>
      </c>
      <c r="AK127" s="124">
        <f t="shared" si="156"/>
        <v>1351218.9293224714</v>
      </c>
      <c r="AL127" s="122">
        <f t="shared" si="124"/>
        <v>-278326.33035248192</v>
      </c>
      <c r="AM127" s="122" t="b">
        <f>IF($C$25="Ausschütter",0,IF(AL127&gt;=0,(AI127+AJ127)*$C$48*0.7))</f>
        <v>0</v>
      </c>
      <c r="AN127" s="122">
        <f t="shared" si="125"/>
        <v>0</v>
      </c>
      <c r="AO127" s="122">
        <f t="shared" si="39"/>
        <v>0</v>
      </c>
      <c r="AP127" s="122">
        <f t="shared" si="69"/>
        <v>16721.477540577333</v>
      </c>
      <c r="AQ127" s="122">
        <f>IF($C$25="AUSSCHÜTTER",0,IF(AO127*$C$46*$C$49&lt;=$C$47,0,AO127*$C$46*$C$49))</f>
        <v>0</v>
      </c>
      <c r="AR127" s="122">
        <f>IF(AO126*$C$49&gt;$C$47,(AN127)*$C$49*$C$46,IF((AO126+AN127)*$C$49&gt;$C$47,((AO126+AN127)*$C$49-$C$47)*$C$46,0))</f>
        <v>0</v>
      </c>
      <c r="AS127" s="122">
        <f t="shared" si="70"/>
        <v>0</v>
      </c>
      <c r="AT127" s="122">
        <f t="shared" si="157"/>
        <v>430891.77838569693</v>
      </c>
      <c r="AU127" s="122">
        <f t="shared" si="115"/>
        <v>0</v>
      </c>
      <c r="AV127" s="122">
        <f t="shared" si="71"/>
        <v>1351218.9293224714</v>
      </c>
      <c r="AW127" s="122">
        <f t="shared" si="158"/>
        <v>0</v>
      </c>
      <c r="AX127" s="130">
        <f t="shared" si="159"/>
        <v>0</v>
      </c>
      <c r="AY127" s="82">
        <f>IF(AF127&lt;$C$11,$C$15*(1+$C$19)^(AF127-$C$10),0)</f>
        <v>0</v>
      </c>
      <c r="AZ127" s="82">
        <f>$C$14*(1+$C$37)^(AF127-$C$10)</f>
        <v>57450.548382909161</v>
      </c>
      <c r="BA127" s="165">
        <f>IF(AF127&lt;$C$11,0,MAX($C$38*AI127,AZ127))</f>
        <v>57450.548382909161</v>
      </c>
      <c r="BB127" s="82">
        <f>IF(AF127&lt;$C$11,0,MAX($C$38*AI127,AZ127))</f>
        <v>57450.548382909161</v>
      </c>
      <c r="BC127" s="136">
        <f>IF($C$39="JA",CT127,DG127)</f>
        <v>15152.58213599229</v>
      </c>
      <c r="BD127" s="82">
        <f t="shared" si="126"/>
        <v>0</v>
      </c>
      <c r="BE127" s="82">
        <f>IF(AF127&lt;($C$8+$C$30),0,$C$29*12*(1-$C$31))</f>
        <v>0</v>
      </c>
      <c r="BF127" s="82">
        <f>IF(AF127&lt;($C$8+$C$34),0,$C$33*12*(1-$C$35))</f>
        <v>0</v>
      </c>
      <c r="BG127" s="82">
        <f>IF(AF127&lt;$C$11,0,IF(AI127&lt;0,$C$42*(1+$C$44)^(AF127-$C$10),IF(((AL127+BE127+BF127)*$C$41)&lt;$C$42*(1+$C$44)^(AF127-$C$10),$C$42*(1+$C$44)^(AF127-$C$10),IF(((AL127+BE127+BF127)*$C$41)&lt;$C$43*(1+$C$44)^(AF127-$C$10),(AL127+BE127+BF127)*$C$41,IF(((AL127+BE127+BF127+BB127)*$C$41)&lt;$C$43*(1+$C$44)^(AF127-$C$10),((AL127+BE127+BF127+BB127)*$C$41),$C$43*(1+$C$44)^(AF127-$C$10))))))</f>
        <v>4831.8698466513733</v>
      </c>
      <c r="BH127" s="82">
        <f t="shared" si="72"/>
        <v>77435.000365552827</v>
      </c>
      <c r="BI127" s="242">
        <f t="shared" si="73"/>
        <v>1351218.9293224714</v>
      </c>
      <c r="BJ127" s="217">
        <f t="shared" si="74"/>
        <v>1273783.9289569187</v>
      </c>
      <c r="BK127" s="118"/>
      <c r="BL127" s="219">
        <f t="shared" si="127"/>
        <v>31</v>
      </c>
      <c r="BM127" s="220">
        <f t="shared" si="128"/>
        <v>48</v>
      </c>
      <c r="BN127" s="220">
        <f t="shared" si="121"/>
        <v>0</v>
      </c>
      <c r="BO127" s="221">
        <f t="shared" si="129"/>
        <v>0</v>
      </c>
      <c r="BP127" s="221">
        <f t="shared" si="130"/>
        <v>0</v>
      </c>
      <c r="BQ127" s="222">
        <f t="shared" si="9"/>
        <v>0</v>
      </c>
      <c r="BR127" s="223">
        <f>IF(BM127&lt;$C$11-$C$10+1,0,IF(BL127&lt;=$C$13,VLOOKUP(BL127,$BN$80:$BQ$156,2,FALSE)-BS127,0))</f>
        <v>0</v>
      </c>
      <c r="BS127" s="223">
        <f>IF(BM127&lt;$C$11-$C$10+1,0,IF(BL127&lt;=$C$13,VLOOKUP(BL127,$BN$80:$BQ$156,3,FALSE),0))</f>
        <v>0</v>
      </c>
      <c r="BT127" s="222">
        <f>IF(BM127&lt;$C$11-$C$10+1,0,IF(BL127&lt;=$C$13,VLOOKUP(BL127,$BN$80:$BQ$156,4,FALSE),0))</f>
        <v>0</v>
      </c>
      <c r="BU127" s="223">
        <f t="shared" si="160"/>
        <v>0</v>
      </c>
      <c r="BV127" s="223">
        <f t="shared" si="161"/>
        <v>0</v>
      </c>
      <c r="BW127" s="223">
        <f t="shared" si="118"/>
        <v>0</v>
      </c>
      <c r="BX127" s="223">
        <f>IF(AND(BS127&lt;=0,BN127=0),MIN((MAX($BZ$80:$BZ$156)-SUM($BX$80:BX126)),CA127),IF(BS127&lt;CA127,BS127,CA127))</f>
        <v>0</v>
      </c>
      <c r="BY127" s="222">
        <f>IF(BN127&gt;0,0,IF(AND(BN127=0,BT127&lt;=0),100%,((BW126*(AVERAGE($BT$80:BT126))+(BR127*BT127))/(BR127+BW126+BS127+BV126))))</f>
        <v>1</v>
      </c>
      <c r="BZ127" s="139">
        <f t="shared" si="162"/>
        <v>430891.77838569693</v>
      </c>
      <c r="CA127" s="122">
        <f t="shared" si="131"/>
        <v>57450.548382909161</v>
      </c>
      <c r="CB127" s="181">
        <f t="shared" si="47"/>
        <v>1</v>
      </c>
      <c r="CC127" s="122">
        <f t="shared" si="48"/>
        <v>1447715.0331219048</v>
      </c>
      <c r="CD127" s="182">
        <f t="shared" si="119"/>
        <v>0</v>
      </c>
      <c r="CE127" s="122">
        <f t="shared" si="75"/>
        <v>430891.77838569693</v>
      </c>
      <c r="CF127" s="122">
        <f t="shared" si="76"/>
        <v>0</v>
      </c>
      <c r="CG127" s="122" t="str">
        <f t="shared" si="132"/>
        <v/>
      </c>
      <c r="CH127" s="140">
        <f t="shared" si="133"/>
        <v>1</v>
      </c>
      <c r="CI127" s="142">
        <f t="shared" si="77"/>
        <v>9984</v>
      </c>
      <c r="CJ127" s="134">
        <f>CI127*$C$57</f>
        <v>0</v>
      </c>
      <c r="CK127" s="142">
        <f t="shared" si="78"/>
        <v>14926</v>
      </c>
      <c r="CL127" s="134">
        <f>CK127*$C$57</f>
        <v>0</v>
      </c>
      <c r="CM127" s="142">
        <f t="shared" si="79"/>
        <v>58596</v>
      </c>
      <c r="CN127" s="134">
        <f>CM127*$C$57</f>
        <v>0</v>
      </c>
      <c r="CO127" s="132">
        <f t="shared" si="117"/>
        <v>57450.548382909161</v>
      </c>
      <c r="CP127" s="140">
        <f t="shared" si="134"/>
        <v>0.41527865145233911</v>
      </c>
      <c r="CQ127" s="121" t="str">
        <f>IF($C$50="NEIN","NEIN",IF(CS127&lt;CR127,"JA","NEIN"))</f>
        <v>NEIN</v>
      </c>
      <c r="CR127" s="121">
        <f>CO127*$C$46</f>
        <v>15152.58213599229</v>
      </c>
      <c r="CS127" s="121">
        <f t="shared" si="135"/>
        <v>14864.324760659545</v>
      </c>
      <c r="CT127" s="201">
        <f>IF($C$50="NEIN",CR127,IF(CQ127="NEIN",CR127,CS127))</f>
        <v>15152.58213599229</v>
      </c>
      <c r="CU127" s="149"/>
      <c r="CV127" s="202">
        <f t="shared" si="80"/>
        <v>9984</v>
      </c>
      <c r="CW127" s="134">
        <f>CV127*$C$57</f>
        <v>0</v>
      </c>
      <c r="CX127" s="142">
        <f t="shared" si="81"/>
        <v>14926</v>
      </c>
      <c r="CY127" s="134">
        <f>CX127*$C$57</f>
        <v>0</v>
      </c>
      <c r="CZ127" s="142">
        <f t="shared" si="82"/>
        <v>58596</v>
      </c>
      <c r="DA127" s="143">
        <f>CZ127*$C$57</f>
        <v>0</v>
      </c>
      <c r="DB127" s="165">
        <f t="shared" si="120"/>
        <v>57450.548382909161</v>
      </c>
      <c r="DC127" s="140">
        <f t="shared" si="136"/>
        <v>0.41527865145233911</v>
      </c>
      <c r="DD127" s="121" t="str">
        <f>IF($C$50="NEIN","NEIN",IF(DF127&lt;DE127,"JA","NEIN"))</f>
        <v>NEIN</v>
      </c>
      <c r="DE127" s="121">
        <f>DB127*$C$46</f>
        <v>15152.58213599229</v>
      </c>
      <c r="DF127" s="121">
        <f t="shared" si="137"/>
        <v>14864.324760659545</v>
      </c>
      <c r="DG127" s="201">
        <f>IF($C$50="NEIN",DE127,IF(DD127="NEIN",DE127,DF127))</f>
        <v>15152.58213599229</v>
      </c>
      <c r="DH127" s="159"/>
      <c r="DI127" s="74"/>
      <c r="DJ127" s="74"/>
      <c r="DK127" s="128"/>
      <c r="DL127" s="128"/>
      <c r="DM127" s="128"/>
      <c r="DN127" s="74"/>
      <c r="DO127" s="28">
        <f t="shared" si="83"/>
        <v>2068</v>
      </c>
      <c r="DP127" s="17">
        <f>IF($C$13+$C$10&gt;=DO127,-AG127,IF(DO127=$C$13+$C$10+1,$EK$93,0))</f>
        <v>0</v>
      </c>
      <c r="DQ127" s="17">
        <f t="shared" si="84"/>
        <v>1773630.5299029432</v>
      </c>
      <c r="DR127" s="17">
        <f t="shared" si="85"/>
        <v>5396203.9700569082</v>
      </c>
      <c r="DS127" s="17">
        <f t="shared" si="163"/>
        <v>90005.749710921475</v>
      </c>
      <c r="DT127" s="17">
        <f t="shared" si="138"/>
        <v>5870244.4001515778</v>
      </c>
      <c r="DU127" s="17">
        <f t="shared" si="86"/>
        <v>384034.68038374837</v>
      </c>
      <c r="DV127" s="33">
        <f t="shared" si="139"/>
        <v>2688.2427626862359</v>
      </c>
      <c r="DW127" s="32">
        <f t="shared" si="140"/>
        <v>117404.88800303156</v>
      </c>
      <c r="DX127" s="17">
        <f t="shared" si="87"/>
        <v>0</v>
      </c>
      <c r="DY127" s="17">
        <f t="shared" si="88"/>
        <v>0</v>
      </c>
      <c r="DZ127" s="17">
        <f t="shared" si="141"/>
        <v>0</v>
      </c>
      <c r="EA127" s="17">
        <f t="shared" si="164"/>
        <v>21464.6136975597</v>
      </c>
      <c r="EB127" s="15">
        <f t="shared" si="165"/>
        <v>95940.274305471859</v>
      </c>
      <c r="EC127" s="15">
        <f>IF(DP127=0,EC126,IF(DO127&lt;=$EK$88+$C$10,ABS(DP127)+EC126,EC126))</f>
        <v>430891.77838569693</v>
      </c>
      <c r="ED127" s="15">
        <f t="shared" si="89"/>
        <v>313482.95401382115</v>
      </c>
      <c r="EE127" s="16">
        <f t="shared" si="90"/>
        <v>5870244.4001515778</v>
      </c>
      <c r="EF127" s="15">
        <f t="shared" si="142"/>
        <v>90005.749710921475</v>
      </c>
      <c r="EG127" s="15">
        <f t="shared" si="91"/>
        <v>1342738.7515172467</v>
      </c>
      <c r="EH127" s="16"/>
      <c r="EI127" s="16"/>
      <c r="EJ127"/>
      <c r="EK127"/>
      <c r="EL127"/>
      <c r="EM127" s="28">
        <f t="shared" si="92"/>
        <v>2068</v>
      </c>
      <c r="EN127" s="29">
        <f>IF($C$13+$C$10&gt;=EM127,-(AG127),IF(EM127=$C$13+$C$10+1,$FB$93,0))</f>
        <v>0</v>
      </c>
      <c r="EO127" s="30">
        <f t="shared" si="93"/>
        <v>430891.77838569693</v>
      </c>
      <c r="EP127" s="30">
        <f t="shared" si="94"/>
        <v>6302103.6978133889</v>
      </c>
      <c r="EQ127" s="30">
        <f t="shared" si="166"/>
        <v>0</v>
      </c>
      <c r="ER127" s="25">
        <f t="shared" si="143"/>
        <v>6743250.9566603266</v>
      </c>
      <c r="ES127" s="30">
        <f t="shared" si="95"/>
        <v>441147.25884693768</v>
      </c>
      <c r="ET127" s="26">
        <f t="shared" si="144"/>
        <v>3088.0308119285605</v>
      </c>
      <c r="EU127" s="30">
        <f t="shared" si="96"/>
        <v>3088.0308119285605</v>
      </c>
      <c r="EV127" s="25">
        <f t="shared" si="145"/>
        <v>0</v>
      </c>
      <c r="EW127" s="31">
        <f t="shared" si="97"/>
        <v>44186.514247922365</v>
      </c>
      <c r="EX127" s="27">
        <f>IF(EM127=0,EX126,IF(EM127&lt;=$FB$88+$C$10,ABS(EN127)+EX126,EX126))</f>
        <v>430891.77838569693</v>
      </c>
      <c r="EY127" s="15"/>
      <c r="EZ127"/>
      <c r="FA127"/>
      <c r="FB127"/>
      <c r="FC127" s="74"/>
      <c r="FD127" s="74"/>
      <c r="FE127" s="74"/>
      <c r="FF127" s="74"/>
      <c r="FG127" s="74"/>
      <c r="FH127" s="74"/>
      <c r="FI127" s="74"/>
      <c r="FJ127" s="28">
        <f t="shared" si="98"/>
        <v>2068</v>
      </c>
      <c r="FK127" s="65">
        <f>IF($C$13+$C$10&gt;=FJ127,-AG127,IF(FJ127=$C$13+$C$10+1,$EK$93,0))</f>
        <v>0</v>
      </c>
      <c r="FL127" s="65">
        <f t="shared" si="99"/>
        <v>74118.803999999975</v>
      </c>
      <c r="FM127" s="65">
        <f t="shared" si="100"/>
        <v>657523.63598486024</v>
      </c>
      <c r="FN127" s="65">
        <f t="shared" si="167"/>
        <v>0</v>
      </c>
      <c r="FO127" s="65">
        <f t="shared" si="146"/>
        <v>703550.2905038005</v>
      </c>
      <c r="FP127" s="65">
        <f t="shared" si="101"/>
        <v>46026.654518940253</v>
      </c>
      <c r="FQ127" s="59">
        <f t="shared" si="147"/>
        <v>322.18658163258152</v>
      </c>
      <c r="FR127" s="60">
        <f t="shared" si="148"/>
        <v>14071.005810076011</v>
      </c>
      <c r="FS127" s="65">
        <f t="shared" si="102"/>
        <v>0</v>
      </c>
      <c r="FT127" s="65">
        <f t="shared" si="103"/>
        <v>0</v>
      </c>
      <c r="FU127" s="65">
        <f t="shared" si="149"/>
        <v>0</v>
      </c>
      <c r="FV127" s="65">
        <f t="shared" si="168"/>
        <v>2386.5956976852831</v>
      </c>
      <c r="FW127" s="61">
        <f t="shared" si="169"/>
        <v>11684.410112390728</v>
      </c>
      <c r="FX127" s="61">
        <f>IF(AND(FJ127&lt;=$GF$88+$C$10,FV126&lt;=0,FN127&gt;0),(FJ127-$C$10+1)*AG127+$GF$80,FX126)</f>
        <v>73074.599999999977</v>
      </c>
      <c r="FY127" s="62">
        <f t="shared" si="170"/>
        <v>11.296759134897885</v>
      </c>
      <c r="FZ127" s="63">
        <f t="shared" si="104"/>
        <v>703550.2905038005</v>
      </c>
      <c r="GA127" s="64">
        <f t="shared" si="105"/>
        <v>13418.849713976741</v>
      </c>
      <c r="GB127" s="64">
        <f t="shared" si="106"/>
        <v>256890.19350773643</v>
      </c>
      <c r="GC127" s="66">
        <f t="shared" si="150"/>
        <v>0</v>
      </c>
      <c r="GD127" s="64">
        <f t="shared" si="107"/>
        <v>1580.6039999999994</v>
      </c>
      <c r="GE127"/>
      <c r="GF127"/>
      <c r="GG127" s="74"/>
      <c r="GH127" s="74"/>
      <c r="GI127" s="28">
        <f t="shared" si="108"/>
        <v>2068</v>
      </c>
      <c r="GJ127" s="9">
        <f>IF($GX$88+$C$10&gt;=GI127,-AG127,IF(GI127=$GX$88+$C$10+1,$FB$93,0))</f>
        <v>0</v>
      </c>
      <c r="GK127" s="5">
        <f t="shared" si="109"/>
        <v>569651.32174475689</v>
      </c>
      <c r="GL127" s="5">
        <f t="shared" si="110"/>
        <v>5497299.4081318676</v>
      </c>
      <c r="GM127" s="35">
        <f t="shared" si="171"/>
        <v>10687.873230317982</v>
      </c>
      <c r="GN127" s="4">
        <f t="shared" si="151"/>
        <v>5893546.3910575388</v>
      </c>
      <c r="GO127" s="5">
        <f t="shared" si="111"/>
        <v>385559.10969535355</v>
      </c>
      <c r="GP127" s="5">
        <f t="shared" si="152"/>
        <v>2698.9137678674706</v>
      </c>
      <c r="GQ127" s="5">
        <f t="shared" si="112"/>
        <v>2698.9137678674706</v>
      </c>
      <c r="GR127" s="4">
        <f t="shared" si="153"/>
        <v>498.2869543925317</v>
      </c>
      <c r="GS127" s="7">
        <f t="shared" si="113"/>
        <v>37267.265485189448</v>
      </c>
      <c r="GT127" s="107" t="e">
        <f>IF($DG$62=0,EX127,IF(GI127-$C$10+1&lt;=$GF$98,0,#REF!-FX127))</f>
        <v>#REF!</v>
      </c>
      <c r="GU127"/>
      <c r="GV127"/>
      <c r="GW127"/>
      <c r="GX127"/>
      <c r="GY127" s="74"/>
      <c r="GZ127" s="74"/>
      <c r="HA127" s="74"/>
      <c r="HB127" s="74"/>
      <c r="HC127" s="74"/>
      <c r="HD127" s="74"/>
    </row>
    <row r="128" spans="2:212" ht="16.149999999999999" thickBot="1" x14ac:dyDescent="0.55000000000000004">
      <c r="B128" s="333"/>
      <c r="C128" s="75"/>
      <c r="D128" s="75"/>
      <c r="F128" s="75"/>
      <c r="G128" s="75"/>
      <c r="H128" s="75"/>
      <c r="I128" s="75"/>
      <c r="J128" s="75"/>
      <c r="K128" s="75"/>
      <c r="L128" s="75"/>
      <c r="M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AB128" s="117" t="str">
        <f t="shared" si="34"/>
        <v/>
      </c>
      <c r="AC128" s="117" t="str">
        <f t="shared" si="35"/>
        <v/>
      </c>
      <c r="AD128" s="299">
        <f>IF($C$20="NEIN",$C$21,IF($C$22="JA",'HISTORISCHE RENDITEN'!E52,'HISTORISCHE RENDITEN'!D52))</f>
        <v>-0.27829999999999999</v>
      </c>
      <c r="AE128" s="129">
        <f t="shared" si="172"/>
        <v>76</v>
      </c>
      <c r="AF128" s="120">
        <f t="shared" si="154"/>
        <v>2069</v>
      </c>
      <c r="AG128" s="122">
        <f t="shared" si="123"/>
        <v>0</v>
      </c>
      <c r="AH128" s="124">
        <f t="shared" si="155"/>
        <v>430891.77838569693</v>
      </c>
      <c r="AI128" s="296">
        <f t="shared" si="114"/>
        <v>1273783.9289569187</v>
      </c>
      <c r="AJ128" s="123">
        <f t="shared" si="67"/>
        <v>0</v>
      </c>
      <c r="AK128" s="124">
        <f t="shared" si="156"/>
        <v>919289.86152820825</v>
      </c>
      <c r="AL128" s="122">
        <f t="shared" si="124"/>
        <v>-354494.0674287104</v>
      </c>
      <c r="AM128" s="122" t="b">
        <f>IF($C$25="Ausschütter",0,IF(AL128&gt;=0,(AI128+AJ128)*$C$48*0.7))</f>
        <v>0</v>
      </c>
      <c r="AN128" s="122">
        <f t="shared" si="125"/>
        <v>0</v>
      </c>
      <c r="AO128" s="122">
        <f t="shared" si="39"/>
        <v>0</v>
      </c>
      <c r="AP128" s="122">
        <f t="shared" si="69"/>
        <v>16721.477540577333</v>
      </c>
      <c r="AQ128" s="122">
        <f>IF($C$25="AUSSCHÜTTER",0,IF(AO128*$C$46*$C$49&lt;=$C$47,0,AO128*$C$46*$C$49))</f>
        <v>0</v>
      </c>
      <c r="AR128" s="122">
        <f>IF(AO127*$C$49&gt;$C$47,(AN128)*$C$49*$C$46,IF((AO127+AN128)*$C$49&gt;$C$47,((AO127+AN128)*$C$49-$C$47)*$C$46,0))</f>
        <v>0</v>
      </c>
      <c r="AS128" s="122">
        <f t="shared" si="70"/>
        <v>0</v>
      </c>
      <c r="AT128" s="122">
        <f t="shared" si="157"/>
        <v>430891.77838569693</v>
      </c>
      <c r="AU128" s="122">
        <f t="shared" si="115"/>
        <v>0</v>
      </c>
      <c r="AV128" s="122">
        <f t="shared" si="71"/>
        <v>919289.86152820825</v>
      </c>
      <c r="AW128" s="122">
        <f t="shared" si="158"/>
        <v>0</v>
      </c>
      <c r="AX128" s="130">
        <f t="shared" si="159"/>
        <v>0</v>
      </c>
      <c r="AY128" s="82">
        <f>IF(AF128&lt;$C$11,$C$15*(1+$C$19)^(AF128-$C$10),0)</f>
        <v>0</v>
      </c>
      <c r="AZ128" s="82">
        <f>$C$14*(1+$C$37)^(AF128-$C$10)</f>
        <v>58886.81209248188</v>
      </c>
      <c r="BA128" s="165">
        <f>IF(AF128&lt;$C$11,0,MAX($C$38*AI128,AZ128))</f>
        <v>58886.81209248188</v>
      </c>
      <c r="BB128" s="82">
        <f>IF(AF128&lt;$C$11,0,MAX($C$38*AI128,AZ128))</f>
        <v>58886.81209248188</v>
      </c>
      <c r="BC128" s="136">
        <f>IF($C$39="JA",CT128,DG128)</f>
        <v>15531.396689392095</v>
      </c>
      <c r="BD128" s="82">
        <f t="shared" si="126"/>
        <v>0</v>
      </c>
      <c r="BE128" s="82">
        <f>IF(AF128&lt;($C$8+$C$30),0,$C$29*12*(1-$C$31))</f>
        <v>0</v>
      </c>
      <c r="BF128" s="82">
        <f>IF(AF128&lt;($C$8+$C$34),0,$C$33*12*(1-$C$35))</f>
        <v>0</v>
      </c>
      <c r="BG128" s="82">
        <f>IF(AF128&lt;$C$11,0,IF(AI128&lt;0,$C$42*(1+$C$44)^(AF128-$C$10),IF(((AL128+BE128+BF128)*$C$41)&lt;$C$42*(1+$C$44)^(AF128-$C$10),$C$42*(1+$C$44)^(AF128-$C$10),IF(((AL128+BE128+BF128)*$C$41)&lt;$C$43*(1+$C$44)^(AF128-$C$10),(AL128+BE128+BF128)*$C$41,IF(((AL128+BE128+BF128+BB128)*$C$41)&lt;$C$43*(1+$C$44)^(AF128-$C$10),((AL128+BE128+BF128+BB128)*$C$41),$C$43*(1+$C$44)^(AF128-$C$10))))))</f>
        <v>4904.3478943511427</v>
      </c>
      <c r="BH128" s="82">
        <f t="shared" si="72"/>
        <v>79322.556676225126</v>
      </c>
      <c r="BI128" s="242">
        <f t="shared" si="73"/>
        <v>919289.86152820825</v>
      </c>
      <c r="BJ128" s="217">
        <f t="shared" si="74"/>
        <v>839967.30485198309</v>
      </c>
      <c r="BK128" s="118"/>
      <c r="BL128" s="219">
        <f t="shared" si="127"/>
        <v>32</v>
      </c>
      <c r="BM128" s="220">
        <f t="shared" si="128"/>
        <v>49</v>
      </c>
      <c r="BN128" s="220">
        <f t="shared" si="121"/>
        <v>0</v>
      </c>
      <c r="BO128" s="221">
        <f t="shared" si="129"/>
        <v>0</v>
      </c>
      <c r="BP128" s="221">
        <f t="shared" si="130"/>
        <v>0</v>
      </c>
      <c r="BQ128" s="222">
        <f t="shared" si="9"/>
        <v>0</v>
      </c>
      <c r="BR128" s="223">
        <f>IF(BM128&lt;$C$11-$C$10+1,0,IF(BL128&lt;=$C$13,VLOOKUP(BL128,$BN$80:$BQ$156,2,FALSE)-BS128,0))</f>
        <v>0</v>
      </c>
      <c r="BS128" s="223">
        <f>IF(BM128&lt;$C$11-$C$10+1,0,IF(BL128&lt;=$C$13,VLOOKUP(BL128,$BN$80:$BQ$156,3,FALSE),0))</f>
        <v>0</v>
      </c>
      <c r="BT128" s="222">
        <f>IF(BM128&lt;$C$11-$C$10+1,0,IF(BL128&lt;=$C$13,VLOOKUP(BL128,$BN$80:$BQ$156,4,FALSE),0))</f>
        <v>0</v>
      </c>
      <c r="BU128" s="223">
        <f t="shared" si="160"/>
        <v>0</v>
      </c>
      <c r="BV128" s="223">
        <f t="shared" si="161"/>
        <v>0</v>
      </c>
      <c r="BW128" s="223">
        <f t="shared" si="118"/>
        <v>0</v>
      </c>
      <c r="BX128" s="223">
        <f>IF(AND(BS128&lt;=0,BN128=0),MIN((MAX($BZ$80:$BZ$156)-SUM($BX$80:BX127)),CA128),IF(BS128&lt;CA128,BS128,CA128))</f>
        <v>0</v>
      </c>
      <c r="BY128" s="222">
        <f>IF(BN128&gt;0,0,IF(AND(BN128=0,BT128&lt;=0),100%,((BW127*(AVERAGE($BT$80:BT127))+(BR128*BT128))/(BR128+BW127+BS128+BV127))))</f>
        <v>1</v>
      </c>
      <c r="BZ128" s="139">
        <f t="shared" si="162"/>
        <v>430891.77838569693</v>
      </c>
      <c r="CA128" s="122">
        <f t="shared" si="131"/>
        <v>58886.81209248188</v>
      </c>
      <c r="CB128" s="181">
        <f t="shared" si="47"/>
        <v>1</v>
      </c>
      <c r="CC128" s="122">
        <f t="shared" si="48"/>
        <v>1506601.8452143867</v>
      </c>
      <c r="CD128" s="182">
        <f t="shared" si="119"/>
        <v>0</v>
      </c>
      <c r="CE128" s="122">
        <f t="shared" si="75"/>
        <v>430891.77838569693</v>
      </c>
      <c r="CF128" s="122">
        <f t="shared" si="76"/>
        <v>0</v>
      </c>
      <c r="CG128" s="122" t="str">
        <f t="shared" si="132"/>
        <v/>
      </c>
      <c r="CH128" s="140">
        <f t="shared" si="133"/>
        <v>1</v>
      </c>
      <c r="CI128" s="142">
        <f t="shared" si="77"/>
        <v>9984</v>
      </c>
      <c r="CJ128" s="134">
        <f>CI128*$C$57</f>
        <v>0</v>
      </c>
      <c r="CK128" s="142">
        <f t="shared" si="78"/>
        <v>14926</v>
      </c>
      <c r="CL128" s="134">
        <f>CK128*$C$57</f>
        <v>0</v>
      </c>
      <c r="CM128" s="142">
        <f t="shared" si="79"/>
        <v>58596</v>
      </c>
      <c r="CN128" s="134">
        <f>CM128*$C$57</f>
        <v>0</v>
      </c>
      <c r="CO128" s="132">
        <f t="shared" si="117"/>
        <v>58886.81209248188</v>
      </c>
      <c r="CP128" s="140">
        <f t="shared" si="134"/>
        <v>0.42</v>
      </c>
      <c r="CQ128" s="121" t="str">
        <f>IF($C$50="NEIN","NEIN",IF(CS128&lt;CR128,"JA","NEIN"))</f>
        <v>NEIN</v>
      </c>
      <c r="CR128" s="121">
        <f>CO128*$C$46</f>
        <v>15531.396689392095</v>
      </c>
      <c r="CS128" s="121">
        <f t="shared" si="135"/>
        <v>15464.931078842388</v>
      </c>
      <c r="CT128" s="201">
        <f>IF($C$50="NEIN",CR128,IF(CQ128="NEIN",CR128,CS128))</f>
        <v>15531.396689392095</v>
      </c>
      <c r="CU128" s="149"/>
      <c r="CV128" s="202">
        <f t="shared" si="80"/>
        <v>9984</v>
      </c>
      <c r="CW128" s="134">
        <f>CV128*$C$57</f>
        <v>0</v>
      </c>
      <c r="CX128" s="142">
        <f t="shared" si="81"/>
        <v>14926</v>
      </c>
      <c r="CY128" s="134">
        <f>CX128*$C$57</f>
        <v>0</v>
      </c>
      <c r="CZ128" s="142">
        <f t="shared" si="82"/>
        <v>58596</v>
      </c>
      <c r="DA128" s="143">
        <f>CZ128*$C$57</f>
        <v>0</v>
      </c>
      <c r="DB128" s="165">
        <f t="shared" si="120"/>
        <v>58886.81209248188</v>
      </c>
      <c r="DC128" s="140">
        <f t="shared" si="136"/>
        <v>0.42</v>
      </c>
      <c r="DD128" s="121" t="str">
        <f>IF($C$50="NEIN","NEIN",IF(DF128&lt;DE128,"JA","NEIN"))</f>
        <v>NEIN</v>
      </c>
      <c r="DE128" s="121">
        <f>DB128*$C$46</f>
        <v>15531.396689392095</v>
      </c>
      <c r="DF128" s="121">
        <f t="shared" si="137"/>
        <v>15464.931078842388</v>
      </c>
      <c r="DG128" s="201">
        <f>IF($C$50="NEIN",DE128,IF(DD128="NEIN",DE128,DF128))</f>
        <v>15531.396689392095</v>
      </c>
      <c r="DH128" s="159"/>
      <c r="DI128" s="74"/>
      <c r="DJ128" s="74"/>
      <c r="DK128" s="128"/>
      <c r="DL128" s="128"/>
      <c r="DM128" s="128"/>
      <c r="DN128" s="74"/>
      <c r="DO128" s="28">
        <f t="shared" si="83"/>
        <v>2069</v>
      </c>
      <c r="DP128" s="17">
        <f>IF($C$13+$C$10&gt;=DO128,-AG128,IF(DO128=$C$13+$C$10+1,$EK$93,0))</f>
        <v>0</v>
      </c>
      <c r="DQ128" s="17">
        <f t="shared" si="84"/>
        <v>1869570.8042084151</v>
      </c>
      <c r="DR128" s="17">
        <f t="shared" si="85"/>
        <v>5752839.5121485461</v>
      </c>
      <c r="DS128" s="17">
        <f t="shared" si="163"/>
        <v>95940.274305471859</v>
      </c>
      <c r="DT128" s="17">
        <f t="shared" si="138"/>
        <v>6258194.3715057997</v>
      </c>
      <c r="DU128" s="17">
        <f t="shared" si="86"/>
        <v>409414.5850517815</v>
      </c>
      <c r="DV128" s="33">
        <f t="shared" si="139"/>
        <v>2865.9020953624686</v>
      </c>
      <c r="DW128" s="32">
        <f t="shared" si="140"/>
        <v>125163.887430116</v>
      </c>
      <c r="DX128" s="17">
        <f t="shared" si="87"/>
        <v>0</v>
      </c>
      <c r="DY128" s="17">
        <f t="shared" si="88"/>
        <v>0</v>
      </c>
      <c r="DZ128" s="17">
        <f t="shared" si="141"/>
        <v>0</v>
      </c>
      <c r="EA128" s="17">
        <f t="shared" si="164"/>
        <v>22897.118966785165</v>
      </c>
      <c r="EB128" s="15">
        <f t="shared" si="165"/>
        <v>102266.76846333084</v>
      </c>
      <c r="EC128" s="15">
        <f>IF(DP128=0,EC127,IF(DO128&lt;=$EK$88+$C$10,ABS(DP128)+EC127,EC127))</f>
        <v>430891.77838569693</v>
      </c>
      <c r="ED128" s="15">
        <f t="shared" si="89"/>
        <v>336380.07298060629</v>
      </c>
      <c r="EE128" s="16">
        <f t="shared" si="90"/>
        <v>6258194.3715057997</v>
      </c>
      <c r="EF128" s="15">
        <f t="shared" si="142"/>
        <v>95940.274305471859</v>
      </c>
      <c r="EG128" s="15">
        <f t="shared" si="91"/>
        <v>1438679.0258227186</v>
      </c>
      <c r="EH128" s="16"/>
      <c r="EI128" s="16"/>
      <c r="EJ128"/>
      <c r="EK128"/>
      <c r="EL128"/>
      <c r="EM128" s="28">
        <f t="shared" si="92"/>
        <v>2069</v>
      </c>
      <c r="EN128" s="29">
        <f>IF($C$13+$C$10&gt;=EM128,-(AG128),IF(EM128=$C$13+$C$10+1,$FB$93,0))</f>
        <v>0</v>
      </c>
      <c r="EO128" s="30">
        <f>EO127+EQ128</f>
        <v>430891.77838569693</v>
      </c>
      <c r="EP128" s="30">
        <f t="shared" si="94"/>
        <v>6743250.9566603266</v>
      </c>
      <c r="EQ128" s="30">
        <f t="shared" si="166"/>
        <v>0</v>
      </c>
      <c r="ER128" s="25">
        <f t="shared" si="143"/>
        <v>7215278.5236265501</v>
      </c>
      <c r="ES128" s="30">
        <f t="shared" si="95"/>
        <v>472027.56696622353</v>
      </c>
      <c r="ET128" s="26">
        <f t="shared" si="144"/>
        <v>3304.1929687635597</v>
      </c>
      <c r="EU128" s="30">
        <f t="shared" si="96"/>
        <v>3304.1929687635597</v>
      </c>
      <c r="EV128" s="25">
        <f t="shared" si="145"/>
        <v>0</v>
      </c>
      <c r="EW128" s="31">
        <f t="shared" si="97"/>
        <v>47490.707216685922</v>
      </c>
      <c r="EX128" s="27">
        <f>IF(EM128=0,EX127,IF(EM128&lt;=$FB$88+$C$10,ABS(EN128)+EX127,EX127))</f>
        <v>430891.77838569693</v>
      </c>
      <c r="EY128" s="15"/>
      <c r="EZ128"/>
      <c r="FA128"/>
      <c r="FB128"/>
      <c r="FC128" s="74"/>
      <c r="FD128" s="74"/>
      <c r="FE128" s="74"/>
      <c r="FF128" s="74"/>
      <c r="FG128" s="74"/>
      <c r="FH128" s="74"/>
      <c r="FI128" s="74"/>
      <c r="FJ128" s="28">
        <f t="shared" si="98"/>
        <v>2069</v>
      </c>
      <c r="FK128" s="65">
        <f>IF($C$13+$C$10&gt;=FJ128,-AG128,IF(FJ128=$C$13+$C$10+1,$EK$93,0))</f>
        <v>0</v>
      </c>
      <c r="FL128" s="65">
        <f t="shared" si="99"/>
        <v>74118.803999999975</v>
      </c>
      <c r="FM128" s="65">
        <f t="shared" si="100"/>
        <v>689479.28469372448</v>
      </c>
      <c r="FN128" s="65">
        <f t="shared" si="167"/>
        <v>0</v>
      </c>
      <c r="FO128" s="65">
        <f t="shared" si="146"/>
        <v>737742.83462228521</v>
      </c>
      <c r="FP128" s="65">
        <f t="shared" si="101"/>
        <v>48263.549928560737</v>
      </c>
      <c r="FQ128" s="59">
        <f t="shared" si="147"/>
        <v>337.84484949992498</v>
      </c>
      <c r="FR128" s="60">
        <f t="shared" si="148"/>
        <v>14754.856692445705</v>
      </c>
      <c r="FS128" s="65">
        <f t="shared" si="102"/>
        <v>0</v>
      </c>
      <c r="FT128" s="65">
        <f t="shared" si="103"/>
        <v>0</v>
      </c>
      <c r="FU128" s="65">
        <f t="shared" si="149"/>
        <v>0</v>
      </c>
      <c r="FV128" s="65">
        <f t="shared" si="168"/>
        <v>2512.8516668427878</v>
      </c>
      <c r="FW128" s="61">
        <f t="shared" si="169"/>
        <v>12242.005025602917</v>
      </c>
      <c r="FX128" s="61">
        <f>IF(AND(FJ128&lt;=$GF$88+$C$10,FV127&lt;=0,FN128&gt;0),(FJ128-$C$10+1)*AG128+$GF$80,FX127)</f>
        <v>73074.599999999977</v>
      </c>
      <c r="FY128" s="62">
        <f t="shared" si="170"/>
        <v>11.894381628853923</v>
      </c>
      <c r="FZ128" s="63">
        <f t="shared" si="104"/>
        <v>737742.83462228521</v>
      </c>
      <c r="GA128" s="64">
        <f t="shared" si="105"/>
        <v>14071.005810076011</v>
      </c>
      <c r="GB128" s="64">
        <f t="shared" si="106"/>
        <v>270961.19931781245</v>
      </c>
      <c r="GC128" s="66">
        <f t="shared" si="150"/>
        <v>0</v>
      </c>
      <c r="GD128" s="64">
        <f t="shared" si="107"/>
        <v>1580.6039999999994</v>
      </c>
      <c r="GE128"/>
      <c r="GF128"/>
      <c r="GG128" s="74"/>
      <c r="GH128" s="74"/>
      <c r="GI128" s="28">
        <f t="shared" si="108"/>
        <v>2069</v>
      </c>
      <c r="GJ128" s="9">
        <f>IF($GX$88+$C$10&gt;=GI128,-AG128,IF(GI128=$GX$88+$C$10+1,$FB$93,0))</f>
        <v>0</v>
      </c>
      <c r="GK128" s="5">
        <f t="shared" si="109"/>
        <v>580837.44490275509</v>
      </c>
      <c r="GL128" s="5">
        <f t="shared" si="110"/>
        <v>5893546.3910575388</v>
      </c>
      <c r="GM128" s="35">
        <f t="shared" si="171"/>
        <v>11186.123157998196</v>
      </c>
      <c r="GN128" s="4">
        <f t="shared" si="151"/>
        <v>6318063.7902106252</v>
      </c>
      <c r="GO128" s="5">
        <f t="shared" si="111"/>
        <v>413331.27599508781</v>
      </c>
      <c r="GP128" s="5">
        <f t="shared" si="152"/>
        <v>2893.318931965613</v>
      </c>
      <c r="GQ128" s="5">
        <f t="shared" si="112"/>
        <v>2893.318931965613</v>
      </c>
      <c r="GR128" s="4">
        <f t="shared" si="153"/>
        <v>534.1790078141513</v>
      </c>
      <c r="GS128" s="7">
        <f t="shared" si="113"/>
        <v>40160.584417155063</v>
      </c>
      <c r="GT128" s="107" t="e">
        <f>IF($DG$62=0,EX128,IF(GI128-$C$10+1&lt;=$GF$98,0,#REF!-FX128))</f>
        <v>#REF!</v>
      </c>
      <c r="GU128"/>
      <c r="GV128"/>
      <c r="GW128"/>
      <c r="GX128"/>
      <c r="GY128" s="74"/>
      <c r="GZ128" s="74"/>
      <c r="HA128" s="74"/>
      <c r="HB128" s="74"/>
      <c r="HC128" s="74"/>
      <c r="HD128" s="74"/>
    </row>
    <row r="129" spans="2:212" ht="16.149999999999999" thickBot="1" x14ac:dyDescent="0.55000000000000004">
      <c r="B129" s="333"/>
      <c r="C129" s="75"/>
      <c r="D129" s="75"/>
      <c r="F129" s="75"/>
      <c r="G129" s="75"/>
      <c r="H129" s="75"/>
      <c r="I129" s="75"/>
      <c r="J129" s="75"/>
      <c r="K129" s="75"/>
      <c r="L129" s="75"/>
      <c r="M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AB129" s="117" t="str">
        <f t="shared" si="34"/>
        <v/>
      </c>
      <c r="AC129" s="117" t="str">
        <f t="shared" si="35"/>
        <v/>
      </c>
      <c r="AD129" s="299">
        <f>IF($C$20="NEIN",$C$21,IF($C$22="JA",'HISTORISCHE RENDITEN'!E53,'HISTORISCHE RENDITEN'!D53))</f>
        <v>0.28910000000000002</v>
      </c>
      <c r="AE129" s="129">
        <f t="shared" si="172"/>
        <v>77</v>
      </c>
      <c r="AF129" s="120">
        <f t="shared" si="154"/>
        <v>2070</v>
      </c>
      <c r="AG129" s="122">
        <f t="shared" si="123"/>
        <v>0</v>
      </c>
      <c r="AH129" s="124">
        <f t="shared" si="155"/>
        <v>430891.77838569693</v>
      </c>
      <c r="AI129" s="296">
        <f t="shared" si="114"/>
        <v>839967.30485198309</v>
      </c>
      <c r="AJ129" s="123">
        <f t="shared" si="67"/>
        <v>0</v>
      </c>
      <c r="AK129" s="124">
        <f t="shared" si="156"/>
        <v>1082801.8526846913</v>
      </c>
      <c r="AL129" s="122">
        <f t="shared" si="124"/>
        <v>242834.54783270822</v>
      </c>
      <c r="AM129" s="122">
        <f>IF($C$25="Ausschütter",0,IF(AL129&gt;=0,(AI129+AJ129)*$C$48*0.7))</f>
        <v>411.58397937747168</v>
      </c>
      <c r="AN129" s="122">
        <f t="shared" si="125"/>
        <v>0</v>
      </c>
      <c r="AO129" s="122">
        <f t="shared" si="39"/>
        <v>411.58397937747168</v>
      </c>
      <c r="AP129" s="122">
        <f t="shared" si="69"/>
        <v>17133.061519954805</v>
      </c>
      <c r="AQ129" s="122">
        <f>IF($C$25="AUSSCHÜTTER",0,IF(AO129*$C$46*$C$49&lt;=$C$47,0,AO129*$C$46*$C$49))</f>
        <v>0</v>
      </c>
      <c r="AR129" s="122">
        <f>IF(AO128*$C$49&gt;$C$47,(AN129)*$C$49*$C$46,IF((AO128+AN129)*$C$49&gt;$C$47,((AO128+AN129)*$C$49-$C$47)*$C$46,0))</f>
        <v>0</v>
      </c>
      <c r="AS129" s="122">
        <f t="shared" si="70"/>
        <v>0</v>
      </c>
      <c r="AT129" s="122">
        <f t="shared" si="157"/>
        <v>430891.77838569693</v>
      </c>
      <c r="AU129" s="122">
        <f t="shared" si="115"/>
        <v>0</v>
      </c>
      <c r="AV129" s="122">
        <f t="shared" si="71"/>
        <v>1082801.8526846913</v>
      </c>
      <c r="AW129" s="122">
        <f t="shared" si="158"/>
        <v>0</v>
      </c>
      <c r="AX129" s="130">
        <f t="shared" si="159"/>
        <v>0</v>
      </c>
      <c r="AY129" s="82">
        <f>IF(AF129&lt;$C$11,$C$15*(1+$C$19)^(AF129-$C$10),0)</f>
        <v>0</v>
      </c>
      <c r="AZ129" s="82">
        <f>$C$14*(1+$C$37)^(AF129-$C$10)</f>
        <v>60358.982394793922</v>
      </c>
      <c r="BA129" s="165">
        <f>IF(AF129&lt;$C$11,0,MAX($C$38*AI129,AZ129))</f>
        <v>60358.982394793922</v>
      </c>
      <c r="BB129" s="82">
        <f>IF(AF129&lt;$C$11,0,MAX($C$38*AI129,AZ129))</f>
        <v>60358.982394793922</v>
      </c>
      <c r="BC129" s="136">
        <f>IF($C$39="JA",CT129,DG129)</f>
        <v>15919.681606626897</v>
      </c>
      <c r="BD129" s="82">
        <f t="shared" si="126"/>
        <v>0</v>
      </c>
      <c r="BE129" s="82">
        <f>IF(AF129&lt;($C$8+$C$30),0,$C$29*12*(1-$C$31))</f>
        <v>0</v>
      </c>
      <c r="BF129" s="82">
        <f>IF(AF129&lt;($C$8+$C$34),0,$C$33*12*(1-$C$35))</f>
        <v>0</v>
      </c>
      <c r="BG129" s="82">
        <f>IF(AF129&lt;$C$11,0,IF(AI129&lt;0,$C$42*(1+$C$44)^(AF129-$C$10),IF(((AL129+BE129+BF129)*$C$41)&lt;$C$42*(1+$C$44)^(AF129-$C$10),$C$42*(1+$C$44)^(AF129-$C$10),IF(((AL129+BE129+BF129)*$C$41)&lt;$C$43*(1+$C$44)^(AF129-$C$10),(AL129+BE129+BF129)*$C$41,IF(((AL129+BE129+BF129+BB129)*$C$41)&lt;$C$43*(1+$C$44)^(AF129-$C$10),((AL129+BE129+BF129+BB129)*$C$41),$C$43*(1+$C$44)^(AF129-$C$10))))))</f>
        <v>22400.609007448838</v>
      </c>
      <c r="BH129" s="82">
        <f t="shared" si="72"/>
        <v>98679.273008869655</v>
      </c>
      <c r="BI129" s="242">
        <f t="shared" si="73"/>
        <v>1082801.8526846913</v>
      </c>
      <c r="BJ129" s="217">
        <f t="shared" si="74"/>
        <v>984122.5796758217</v>
      </c>
      <c r="BK129" s="118"/>
      <c r="BL129" s="219">
        <f t="shared" si="127"/>
        <v>33</v>
      </c>
      <c r="BM129" s="220">
        <f t="shared" si="128"/>
        <v>50</v>
      </c>
      <c r="BN129" s="220">
        <f t="shared" si="121"/>
        <v>0</v>
      </c>
      <c r="BO129" s="221">
        <f t="shared" si="129"/>
        <v>0</v>
      </c>
      <c r="BP129" s="221">
        <f t="shared" si="130"/>
        <v>0</v>
      </c>
      <c r="BQ129" s="222">
        <f t="shared" si="9"/>
        <v>0</v>
      </c>
      <c r="BR129" s="223">
        <f>IF(BM129&lt;$C$11-$C$10+1,0,IF(BL129&lt;=$C$13,VLOOKUP(BL129,$BN$80:$BQ$156,2,FALSE)-BS129,0))</f>
        <v>0</v>
      </c>
      <c r="BS129" s="223">
        <f>IF(BM129&lt;$C$11-$C$10+1,0,IF(BL129&lt;=$C$13,VLOOKUP(BL129,$BN$80:$BQ$156,3,FALSE),0))</f>
        <v>0</v>
      </c>
      <c r="BT129" s="222">
        <f>IF(BM129&lt;$C$11-$C$10+1,0,IF(BL129&lt;=$C$13,VLOOKUP(BL129,$BN$80:$BQ$156,4,FALSE),0))</f>
        <v>0</v>
      </c>
      <c r="BU129" s="223">
        <f t="shared" si="160"/>
        <v>0</v>
      </c>
      <c r="BV129" s="223">
        <f t="shared" si="161"/>
        <v>0</v>
      </c>
      <c r="BW129" s="223">
        <f t="shared" si="118"/>
        <v>0</v>
      </c>
      <c r="BX129" s="223">
        <f>IF(AND(BS129&lt;=0,BN129=0),MIN((MAX($BZ$80:$BZ$156)-SUM($BX$80:BX128)),CA129),IF(BS129&lt;CA129,BS129,CA129))</f>
        <v>0</v>
      </c>
      <c r="BY129" s="222">
        <f>IF(BN129&gt;0,0,IF(AND(BN129=0,BT129&lt;=0),100%,((BW128*(AVERAGE($BT$80:BT128))+(BR129*BT129))/(BR129+BW128+BS129+BV128))))</f>
        <v>1</v>
      </c>
      <c r="BZ129" s="139">
        <f t="shared" si="162"/>
        <v>430891.77838569693</v>
      </c>
      <c r="CA129" s="122">
        <f t="shared" si="131"/>
        <v>60358.982394793922</v>
      </c>
      <c r="CB129" s="181">
        <f t="shared" si="47"/>
        <v>1</v>
      </c>
      <c r="CC129" s="122">
        <f t="shared" si="48"/>
        <v>1566960.8276091807</v>
      </c>
      <c r="CD129" s="182">
        <f t="shared" si="119"/>
        <v>0</v>
      </c>
      <c r="CE129" s="122">
        <f t="shared" si="75"/>
        <v>430891.77838569693</v>
      </c>
      <c r="CF129" s="122">
        <f t="shared" si="76"/>
        <v>0</v>
      </c>
      <c r="CG129" s="122" t="str">
        <f t="shared" si="132"/>
        <v/>
      </c>
      <c r="CH129" s="140">
        <f t="shared" si="133"/>
        <v>1</v>
      </c>
      <c r="CI129" s="142">
        <f t="shared" si="77"/>
        <v>9984</v>
      </c>
      <c r="CJ129" s="134">
        <f>CI129*$C$57</f>
        <v>0</v>
      </c>
      <c r="CK129" s="142">
        <f t="shared" si="78"/>
        <v>14926</v>
      </c>
      <c r="CL129" s="134">
        <f>CK129*$C$57</f>
        <v>0</v>
      </c>
      <c r="CM129" s="142">
        <f t="shared" si="79"/>
        <v>58596</v>
      </c>
      <c r="CN129" s="134">
        <f>CM129*$C$57</f>
        <v>0</v>
      </c>
      <c r="CO129" s="132">
        <f t="shared" si="117"/>
        <v>60358.982394793922</v>
      </c>
      <c r="CP129" s="140">
        <f t="shared" si="134"/>
        <v>0.42</v>
      </c>
      <c r="CQ129" s="121" t="str">
        <f>IF($C$50="NEIN","NEIN",IF(CS129&lt;CR129,"JA","NEIN"))</f>
        <v>NEIN</v>
      </c>
      <c r="CR129" s="121">
        <f>CO129*$C$46</f>
        <v>15919.681606626897</v>
      </c>
      <c r="CS129" s="121">
        <f t="shared" si="135"/>
        <v>16083.242605813446</v>
      </c>
      <c r="CT129" s="201">
        <f>IF($C$50="NEIN",CR129,IF(CQ129="NEIN",CR129,CS129))</f>
        <v>15919.681606626897</v>
      </c>
      <c r="CU129" s="149"/>
      <c r="CV129" s="202">
        <f t="shared" si="80"/>
        <v>9984</v>
      </c>
      <c r="CW129" s="134">
        <f>CV129*$C$57</f>
        <v>0</v>
      </c>
      <c r="CX129" s="142">
        <f t="shared" si="81"/>
        <v>14926</v>
      </c>
      <c r="CY129" s="134">
        <f>CX129*$C$57</f>
        <v>0</v>
      </c>
      <c r="CZ129" s="142">
        <f t="shared" si="82"/>
        <v>58596</v>
      </c>
      <c r="DA129" s="143">
        <f>CZ129*$C$57</f>
        <v>0</v>
      </c>
      <c r="DB129" s="165">
        <f t="shared" si="120"/>
        <v>60358.982394793922</v>
      </c>
      <c r="DC129" s="140">
        <f t="shared" si="136"/>
        <v>0.42</v>
      </c>
      <c r="DD129" s="121" t="str">
        <f>IF($C$50="NEIN","NEIN",IF(DF129&lt;DE129,"JA","NEIN"))</f>
        <v>NEIN</v>
      </c>
      <c r="DE129" s="121">
        <f>DB129*$C$46</f>
        <v>15919.681606626897</v>
      </c>
      <c r="DF129" s="121">
        <f t="shared" si="137"/>
        <v>16083.242605813446</v>
      </c>
      <c r="DG129" s="201">
        <f>IF($C$50="NEIN",DE129,IF(DD129="NEIN",DE129,DF129))</f>
        <v>15919.681606626897</v>
      </c>
      <c r="DH129" s="159"/>
      <c r="DI129" s="74"/>
      <c r="DJ129" s="74"/>
      <c r="DK129" s="128"/>
      <c r="DL129" s="128"/>
      <c r="DM129" s="128"/>
      <c r="DN129" s="74"/>
      <c r="DO129" s="28">
        <f t="shared" si="83"/>
        <v>2070</v>
      </c>
      <c r="DP129" s="17">
        <f>IF($C$13+$C$10&gt;=DO129,-AG129,IF(DO129=$C$13+$C$10+1,$EK$93,0))</f>
        <v>0</v>
      </c>
      <c r="DQ129" s="17">
        <f t="shared" si="84"/>
        <v>1971837.5726717459</v>
      </c>
      <c r="DR129" s="17">
        <f t="shared" si="85"/>
        <v>6133030.4840756841</v>
      </c>
      <c r="DS129" s="17">
        <f t="shared" si="163"/>
        <v>102266.76846333084</v>
      </c>
      <c r="DT129" s="17">
        <f t="shared" si="138"/>
        <v>6671768.0602167472</v>
      </c>
      <c r="DU129" s="17">
        <f t="shared" si="86"/>
        <v>436470.80767773185</v>
      </c>
      <c r="DV129" s="33">
        <f t="shared" si="139"/>
        <v>3055.2956537441173</v>
      </c>
      <c r="DW129" s="32">
        <f t="shared" si="140"/>
        <v>133435.36120433494</v>
      </c>
      <c r="DX129" s="17">
        <f t="shared" si="87"/>
        <v>0</v>
      </c>
      <c r="DY129" s="17">
        <f t="shared" si="88"/>
        <v>0</v>
      </c>
      <c r="DZ129" s="17">
        <f t="shared" si="141"/>
        <v>0</v>
      </c>
      <c r="EA129" s="17">
        <f t="shared" si="164"/>
        <v>24424.239812350337</v>
      </c>
      <c r="EB129" s="15">
        <f t="shared" si="165"/>
        <v>109011.1213919846</v>
      </c>
      <c r="EC129" s="15">
        <f>IF(DP129=0,EC128,IF(DO129&lt;=$EK$88+$C$10,ABS(DP129)+EC128,EC128))</f>
        <v>430891.77838569693</v>
      </c>
      <c r="ED129" s="15">
        <f t="shared" si="89"/>
        <v>360804.3127929566</v>
      </c>
      <c r="EE129" s="16">
        <f t="shared" si="90"/>
        <v>6671768.0602167472</v>
      </c>
      <c r="EF129" s="15">
        <f t="shared" si="142"/>
        <v>102266.76846333084</v>
      </c>
      <c r="EG129" s="15">
        <f t="shared" si="91"/>
        <v>1540945.7942860494</v>
      </c>
      <c r="EH129" s="16"/>
      <c r="EI129" s="16"/>
      <c r="EJ129"/>
      <c r="EK129"/>
      <c r="EL129"/>
      <c r="EM129" s="28">
        <f t="shared" si="92"/>
        <v>2070</v>
      </c>
      <c r="EN129" s="29">
        <f>IF($C$13+$C$10&gt;=EM129,-(AG129),IF(EM129=$C$13+$C$10+1,$FB$93,0))</f>
        <v>0</v>
      </c>
      <c r="EO129" s="30">
        <f t="shared" si="93"/>
        <v>430891.77838569693</v>
      </c>
      <c r="EP129" s="30">
        <f t="shared" si="94"/>
        <v>7215278.5236265501</v>
      </c>
      <c r="EQ129" s="30">
        <f t="shared" si="166"/>
        <v>0</v>
      </c>
      <c r="ER129" s="25">
        <f t="shared" si="143"/>
        <v>7720348.0202804087</v>
      </c>
      <c r="ES129" s="30">
        <f t="shared" si="95"/>
        <v>505069.49665385857</v>
      </c>
      <c r="ET129" s="26">
        <f t="shared" si="144"/>
        <v>3535.4864765770089</v>
      </c>
      <c r="EU129" s="30">
        <f t="shared" si="96"/>
        <v>3535.4864765770089</v>
      </c>
      <c r="EV129" s="25">
        <f t="shared" si="145"/>
        <v>0</v>
      </c>
      <c r="EW129" s="31">
        <f t="shared" si="97"/>
        <v>51026.193693262932</v>
      </c>
      <c r="EX129" s="27">
        <f>IF(EM129=0,EX128,IF(EM129&lt;=$FB$88+$C$10,ABS(EN129)+EX128,EX128))</f>
        <v>430891.77838569693</v>
      </c>
      <c r="EY129" s="15"/>
      <c r="EZ129"/>
      <c r="FA129"/>
      <c r="FB129"/>
      <c r="FC129" s="74"/>
      <c r="FD129" s="74"/>
      <c r="FE129" s="74"/>
      <c r="FF129" s="74"/>
      <c r="FG129" s="74"/>
      <c r="FH129" s="74"/>
      <c r="FI129" s="74"/>
      <c r="FJ129" s="28">
        <f t="shared" si="98"/>
        <v>2070</v>
      </c>
      <c r="FK129" s="65">
        <f>IF($C$13+$C$10&gt;=FJ129,-AG129,IF(FJ129=$C$13+$C$10+1,$EK$93,0))</f>
        <v>0</v>
      </c>
      <c r="FL129" s="65">
        <f t="shared" si="99"/>
        <v>74118.803999999975</v>
      </c>
      <c r="FM129" s="65">
        <f t="shared" si="100"/>
        <v>722987.97792983952</v>
      </c>
      <c r="FN129" s="65">
        <f t="shared" si="167"/>
        <v>0</v>
      </c>
      <c r="FO129" s="65">
        <f t="shared" si="146"/>
        <v>773597.13638492837</v>
      </c>
      <c r="FP129" s="65">
        <f t="shared" si="101"/>
        <v>50609.158455088851</v>
      </c>
      <c r="FQ129" s="59">
        <f t="shared" si="147"/>
        <v>354.26410918562135</v>
      </c>
      <c r="FR129" s="60">
        <f t="shared" si="148"/>
        <v>15471.942727698568</v>
      </c>
      <c r="FS129" s="65">
        <f t="shared" si="102"/>
        <v>0</v>
      </c>
      <c r="FT129" s="65">
        <f t="shared" si="103"/>
        <v>0</v>
      </c>
      <c r="FU129" s="65">
        <f t="shared" si="149"/>
        <v>0</v>
      </c>
      <c r="FV129" s="65">
        <f t="shared" si="168"/>
        <v>2645.2436761013478</v>
      </c>
      <c r="FW129" s="61">
        <f t="shared" si="169"/>
        <v>12826.699051597221</v>
      </c>
      <c r="FX129" s="61">
        <f>IF(AND(FJ129&lt;=$GF$88+$C$10,FV128&lt;=0,FN129&gt;0),(FJ129-$C$10+1)*AG129+$GF$80,FX128)</f>
        <v>73074.599999999977</v>
      </c>
      <c r="FY129" s="62">
        <f t="shared" si="170"/>
        <v>12.521048576016225</v>
      </c>
      <c r="FZ129" s="63">
        <f t="shared" si="104"/>
        <v>773597.13638492837</v>
      </c>
      <c r="GA129" s="64">
        <f t="shared" si="105"/>
        <v>14754.856692445705</v>
      </c>
      <c r="GB129" s="64">
        <f t="shared" si="106"/>
        <v>285716.05601025815</v>
      </c>
      <c r="GC129" s="66">
        <f t="shared" si="150"/>
        <v>0</v>
      </c>
      <c r="GD129" s="64">
        <f t="shared" si="107"/>
        <v>1580.6039999999994</v>
      </c>
      <c r="GE129"/>
      <c r="GF129"/>
      <c r="GG129" s="74"/>
      <c r="GH129" s="74"/>
      <c r="GI129" s="28">
        <f t="shared" si="108"/>
        <v>2070</v>
      </c>
      <c r="GJ129" s="9">
        <f>IF($GX$88+$C$10&gt;=GI129,-AG129,IF(GI129=$GX$88+$C$10+1,$FB$93,0))</f>
        <v>0</v>
      </c>
      <c r="GK129" s="5">
        <f t="shared" si="109"/>
        <v>592545.27092054382</v>
      </c>
      <c r="GL129" s="5">
        <f t="shared" si="110"/>
        <v>6318063.7902106252</v>
      </c>
      <c r="GM129" s="35">
        <f t="shared" si="171"/>
        <v>11707.826017788766</v>
      </c>
      <c r="GN129" s="4">
        <f t="shared" si="151"/>
        <v>6772855.629364403</v>
      </c>
      <c r="GO129" s="5">
        <f t="shared" si="111"/>
        <v>443084.0131359892</v>
      </c>
      <c r="GP129" s="5">
        <f t="shared" si="152"/>
        <v>3101.5880919519227</v>
      </c>
      <c r="GQ129" s="5">
        <f t="shared" si="112"/>
        <v>3101.5880919519227</v>
      </c>
      <c r="GR129" s="4">
        <f t="shared" si="153"/>
        <v>572.6307014766237</v>
      </c>
      <c r="GS129" s="7">
        <f t="shared" si="113"/>
        <v>43262.172509106989</v>
      </c>
      <c r="GT129" s="107" t="e">
        <f>IF($DG$62=0,EX129,IF(GI129-$C$10+1&lt;=$GF$98,0,#REF!-FX129))</f>
        <v>#REF!</v>
      </c>
      <c r="GU129"/>
      <c r="GV129"/>
      <c r="GW129"/>
      <c r="GX129"/>
      <c r="GY129" s="74"/>
      <c r="GZ129" s="74"/>
      <c r="HA129" s="74"/>
      <c r="HB129" s="74"/>
      <c r="HC129" s="74"/>
      <c r="HD129" s="74"/>
    </row>
    <row r="130" spans="2:212" ht="16.149999999999999" thickBot="1" x14ac:dyDescent="0.55000000000000004">
      <c r="B130" s="333"/>
      <c r="C130" s="75"/>
      <c r="D130" s="75"/>
      <c r="F130" s="75"/>
      <c r="G130" s="75"/>
      <c r="H130" s="75"/>
      <c r="I130" s="75"/>
      <c r="J130" s="75"/>
      <c r="K130" s="75"/>
      <c r="L130" s="75"/>
      <c r="M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AB130" s="117" t="str">
        <f t="shared" si="34"/>
        <v/>
      </c>
      <c r="AC130" s="117" t="str">
        <f t="shared" si="35"/>
        <v/>
      </c>
      <c r="AD130" s="299">
        <f>IF($C$20="NEIN",$C$21,IF($C$22="JA",'HISTORISCHE RENDITEN'!E54,'HISTORISCHE RENDITEN'!D54))</f>
        <v>0.10310000000000001</v>
      </c>
      <c r="AE130" s="129">
        <f t="shared" si="172"/>
        <v>78</v>
      </c>
      <c r="AF130" s="120">
        <f t="shared" si="154"/>
        <v>2071</v>
      </c>
      <c r="AG130" s="122">
        <f t="shared" si="123"/>
        <v>0</v>
      </c>
      <c r="AH130" s="124">
        <f t="shared" si="155"/>
        <v>430891.77838569693</v>
      </c>
      <c r="AI130" s="296">
        <f t="shared" si="114"/>
        <v>984122.5796758217</v>
      </c>
      <c r="AJ130" s="123">
        <f t="shared" si="67"/>
        <v>0</v>
      </c>
      <c r="AK130" s="124">
        <f t="shared" si="156"/>
        <v>1085585.6176403989</v>
      </c>
      <c r="AL130" s="122">
        <f t="shared" si="124"/>
        <v>101463.0379645772</v>
      </c>
      <c r="AM130" s="122">
        <f>IF($C$25="Ausschütter",0,IF(AL130&gt;=0,(AI130+AJ130)*$C$48*0.7))</f>
        <v>482.22006404115257</v>
      </c>
      <c r="AN130" s="122">
        <f t="shared" si="125"/>
        <v>0</v>
      </c>
      <c r="AO130" s="122">
        <f t="shared" si="39"/>
        <v>482.22006404115257</v>
      </c>
      <c r="AP130" s="122">
        <f t="shared" si="69"/>
        <v>17615.281583995958</v>
      </c>
      <c r="AQ130" s="122">
        <f>IF($C$25="AUSSCHÜTTER",0,IF(AO130*$C$46*$C$49&lt;=$C$47,0,AO130*$C$46*$C$49))</f>
        <v>0</v>
      </c>
      <c r="AR130" s="122">
        <f>IF(AO129*$C$49&gt;$C$47,(AN130)*$C$49*$C$46,IF((AO129+AN130)*$C$49&gt;$C$47,((AO129+AN130)*$C$49-$C$47)*$C$46,0))</f>
        <v>0</v>
      </c>
      <c r="AS130" s="122">
        <f t="shared" si="70"/>
        <v>0</v>
      </c>
      <c r="AT130" s="122">
        <f t="shared" si="157"/>
        <v>430891.77838569693</v>
      </c>
      <c r="AU130" s="122">
        <f t="shared" si="115"/>
        <v>0</v>
      </c>
      <c r="AV130" s="122">
        <f t="shared" si="71"/>
        <v>1085585.6176403989</v>
      </c>
      <c r="AW130" s="122">
        <f t="shared" si="158"/>
        <v>0</v>
      </c>
      <c r="AX130" s="130">
        <f t="shared" si="159"/>
        <v>0</v>
      </c>
      <c r="AY130" s="82">
        <f>IF(AF130&lt;$C$11,$C$15*(1+$C$19)^(AF130-$C$10),0)</f>
        <v>0</v>
      </c>
      <c r="AZ130" s="82">
        <f>$C$14*(1+$C$37)^(AF130-$C$10)</f>
        <v>61867.956954663772</v>
      </c>
      <c r="BA130" s="165">
        <f>IF(AF130&lt;$C$11,0,MAX($C$38*AI130,AZ130))</f>
        <v>61867.956954663772</v>
      </c>
      <c r="BB130" s="82">
        <f>IF(AF130&lt;$C$11,0,MAX($C$38*AI130,AZ130))</f>
        <v>61867.956954663772</v>
      </c>
      <c r="BC130" s="136">
        <f>IF($C$39="JA",CT130,DG130)</f>
        <v>16317.673646792569</v>
      </c>
      <c r="BD130" s="82">
        <f t="shared" si="126"/>
        <v>0</v>
      </c>
      <c r="BE130" s="82">
        <f>IF(AF130&lt;($C$8+$C$30),0,$C$29*12*(1-$C$31))</f>
        <v>0</v>
      </c>
      <c r="BF130" s="82">
        <f>IF(AF130&lt;($C$8+$C$34),0,$C$33*12*(1-$C$35))</f>
        <v>0</v>
      </c>
      <c r="BG130" s="82">
        <f>IF(AF130&lt;$C$11,0,IF(AI130&lt;0,$C$42*(1+$C$44)^(AF130-$C$10),IF(((AL130+BE130+BF130)*$C$41)&lt;$C$42*(1+$C$44)^(AF130-$C$10),$C$42*(1+$C$44)^(AF130-$C$10),IF(((AL130+BE130+BF130)*$C$41)&lt;$C$43*(1+$C$44)^(AF130-$C$10),(AL130+BE130+BF130)*$C$41,IF(((AL130+BE130+BF130+BB130)*$C$41)&lt;$C$43*(1+$C$44)^(AF130-$C$10),((AL130+BE130+BF130+BB130)*$C$41),$C$43*(1+$C$44)^(AF130-$C$10))))))</f>
        <v>19277.977213269671</v>
      </c>
      <c r="BH130" s="82">
        <f t="shared" si="72"/>
        <v>97463.607814726012</v>
      </c>
      <c r="BI130" s="242">
        <f t="shared" si="73"/>
        <v>1085585.6176403989</v>
      </c>
      <c r="BJ130" s="217">
        <f t="shared" si="74"/>
        <v>988122.00982567295</v>
      </c>
      <c r="BK130" s="118"/>
      <c r="BL130" s="219">
        <f t="shared" si="127"/>
        <v>34</v>
      </c>
      <c r="BM130" s="220">
        <f t="shared" si="128"/>
        <v>51</v>
      </c>
      <c r="BN130" s="220">
        <f t="shared" si="121"/>
        <v>0</v>
      </c>
      <c r="BO130" s="221">
        <f t="shared" si="129"/>
        <v>0</v>
      </c>
      <c r="BP130" s="221">
        <f t="shared" si="130"/>
        <v>0</v>
      </c>
      <c r="BQ130" s="222">
        <f t="shared" si="9"/>
        <v>0</v>
      </c>
      <c r="BR130" s="223">
        <f>IF(BM130&lt;$C$11-$C$10+1,0,IF(BL130&lt;=$C$13,VLOOKUP(BL130,$BN$80:$BQ$156,2,FALSE)-BS130,0))</f>
        <v>0</v>
      </c>
      <c r="BS130" s="223">
        <f>IF(BM130&lt;$C$11-$C$10+1,0,IF(BL130&lt;=$C$13,VLOOKUP(BL130,$BN$80:$BQ$156,3,FALSE),0))</f>
        <v>0</v>
      </c>
      <c r="BT130" s="222">
        <f>IF(BM130&lt;$C$11-$C$10+1,0,IF(BL130&lt;=$C$13,VLOOKUP(BL130,$BN$80:$BQ$156,4,FALSE),0))</f>
        <v>0</v>
      </c>
      <c r="BU130" s="223">
        <f t="shared" si="160"/>
        <v>0</v>
      </c>
      <c r="BV130" s="223">
        <f t="shared" si="161"/>
        <v>0</v>
      </c>
      <c r="BW130" s="223">
        <f t="shared" si="118"/>
        <v>0</v>
      </c>
      <c r="BX130" s="223">
        <f>IF(AND(BS130&lt;=0,BN130=0),MIN((MAX($BZ$80:$BZ$156)-SUM($BX$80:BX129)),CA130),IF(BS130&lt;CA130,BS130,CA130))</f>
        <v>0</v>
      </c>
      <c r="BY130" s="222">
        <f>IF(BN130&gt;0,0,IF(AND(BN130=0,BT130&lt;=0),100%,((BW129*(AVERAGE($BT$80:BT129))+(BR130*BT130))/(BR130+BW129+BS130+BV129))))</f>
        <v>1</v>
      </c>
      <c r="BZ130" s="139">
        <f t="shared" si="162"/>
        <v>430891.77838569693</v>
      </c>
      <c r="CA130" s="122">
        <f t="shared" si="131"/>
        <v>61867.956954663772</v>
      </c>
      <c r="CB130" s="181">
        <f t="shared" si="47"/>
        <v>1</v>
      </c>
      <c r="CC130" s="122">
        <f t="shared" si="48"/>
        <v>1628828.7845638446</v>
      </c>
      <c r="CD130" s="182">
        <f t="shared" si="119"/>
        <v>0</v>
      </c>
      <c r="CE130" s="122">
        <f t="shared" si="75"/>
        <v>430891.77838569693</v>
      </c>
      <c r="CF130" s="122">
        <f t="shared" si="76"/>
        <v>0</v>
      </c>
      <c r="CG130" s="122" t="str">
        <f t="shared" si="132"/>
        <v/>
      </c>
      <c r="CH130" s="140">
        <f t="shared" si="133"/>
        <v>1</v>
      </c>
      <c r="CI130" s="142">
        <f t="shared" si="77"/>
        <v>9984</v>
      </c>
      <c r="CJ130" s="134">
        <f>CI130*$C$57</f>
        <v>0</v>
      </c>
      <c r="CK130" s="142">
        <f t="shared" si="78"/>
        <v>14926</v>
      </c>
      <c r="CL130" s="134">
        <f>CK130*$C$57</f>
        <v>0</v>
      </c>
      <c r="CM130" s="142">
        <f t="shared" si="79"/>
        <v>58596</v>
      </c>
      <c r="CN130" s="134">
        <f>CM130*$C$57</f>
        <v>0</v>
      </c>
      <c r="CO130" s="132">
        <f t="shared" si="117"/>
        <v>61867.956954663772</v>
      </c>
      <c r="CP130" s="140">
        <f t="shared" si="134"/>
        <v>0.42</v>
      </c>
      <c r="CQ130" s="121" t="str">
        <f>IF($C$50="NEIN","NEIN",IF(CS130&lt;CR130,"JA","NEIN"))</f>
        <v>NEIN</v>
      </c>
      <c r="CR130" s="121">
        <f>CO130*$C$46</f>
        <v>16317.673646792569</v>
      </c>
      <c r="CS130" s="121">
        <f t="shared" si="135"/>
        <v>16717.011920958779</v>
      </c>
      <c r="CT130" s="201">
        <f>IF($C$50="NEIN",CR130,IF(CQ130="NEIN",CR130,CS130))</f>
        <v>16317.673646792569</v>
      </c>
      <c r="CU130" s="149"/>
      <c r="CV130" s="202">
        <f t="shared" si="80"/>
        <v>9984</v>
      </c>
      <c r="CW130" s="134">
        <f>CV130*$C$57</f>
        <v>0</v>
      </c>
      <c r="CX130" s="142">
        <f t="shared" si="81"/>
        <v>14926</v>
      </c>
      <c r="CY130" s="134">
        <f>CX130*$C$57</f>
        <v>0</v>
      </c>
      <c r="CZ130" s="142">
        <f t="shared" si="82"/>
        <v>58596</v>
      </c>
      <c r="DA130" s="143">
        <f>CZ130*$C$57</f>
        <v>0</v>
      </c>
      <c r="DB130" s="165">
        <f t="shared" si="120"/>
        <v>61867.956954663772</v>
      </c>
      <c r="DC130" s="140">
        <f t="shared" si="136"/>
        <v>0.42</v>
      </c>
      <c r="DD130" s="121" t="str">
        <f>IF($C$50="NEIN","NEIN",IF(DF130&lt;DE130,"JA","NEIN"))</f>
        <v>NEIN</v>
      </c>
      <c r="DE130" s="121">
        <f>DB130*$C$46</f>
        <v>16317.673646792569</v>
      </c>
      <c r="DF130" s="121">
        <f t="shared" si="137"/>
        <v>16717.011920958779</v>
      </c>
      <c r="DG130" s="201">
        <f>IF($C$50="NEIN",DE130,IF(DD130="NEIN",DE130,DF130))</f>
        <v>16317.673646792569</v>
      </c>
      <c r="DH130" s="159"/>
      <c r="DI130" s="74"/>
      <c r="DJ130" s="74"/>
      <c r="DK130" s="128"/>
      <c r="DL130" s="128"/>
      <c r="DM130" s="128"/>
      <c r="DN130" s="74"/>
      <c r="DO130" s="28">
        <f t="shared" si="83"/>
        <v>2071</v>
      </c>
      <c r="DP130" s="17">
        <f>IF($C$13+$C$10&gt;=DO130,-AG130,IF(DO130=$C$13+$C$10+1,$EK$93,0))</f>
        <v>0</v>
      </c>
      <c r="DQ130" s="17">
        <f t="shared" si="84"/>
        <v>2080848.6940637305</v>
      </c>
      <c r="DR130" s="17">
        <f t="shared" si="85"/>
        <v>6538332.6990124127</v>
      </c>
      <c r="DS130" s="17">
        <f t="shared" si="163"/>
        <v>109011.1213919846</v>
      </c>
      <c r="DT130" s="17">
        <f t="shared" si="138"/>
        <v>7112657.8878327059</v>
      </c>
      <c r="DU130" s="17">
        <f t="shared" si="86"/>
        <v>465314.06742830854</v>
      </c>
      <c r="DV130" s="33">
        <f t="shared" si="139"/>
        <v>3257.1984719981542</v>
      </c>
      <c r="DW130" s="32">
        <f t="shared" si="140"/>
        <v>142253.15775665411</v>
      </c>
      <c r="DX130" s="17">
        <f t="shared" si="87"/>
        <v>0</v>
      </c>
      <c r="DY130" s="17">
        <f t="shared" si="88"/>
        <v>0</v>
      </c>
      <c r="DZ130" s="17">
        <f t="shared" si="141"/>
        <v>0</v>
      </c>
      <c r="EA130" s="17">
        <f t="shared" si="164"/>
        <v>26052.225500822264</v>
      </c>
      <c r="EB130" s="15">
        <f t="shared" si="165"/>
        <v>116200.93225583184</v>
      </c>
      <c r="EC130" s="15">
        <f>IF(DP130=0,EC129,IF(DO130&lt;=$EK$88+$C$10,ABS(DP130)+EC129,EC129))</f>
        <v>430891.77838569693</v>
      </c>
      <c r="ED130" s="15">
        <f t="shared" si="89"/>
        <v>386856.53829377884</v>
      </c>
      <c r="EE130" s="16">
        <f t="shared" si="90"/>
        <v>7112657.8878327059</v>
      </c>
      <c r="EF130" s="15">
        <f t="shared" si="142"/>
        <v>109011.1213919846</v>
      </c>
      <c r="EG130" s="15">
        <f t="shared" si="91"/>
        <v>1649956.9156780341</v>
      </c>
      <c r="EH130" s="16"/>
      <c r="EI130" s="16"/>
      <c r="EJ130"/>
      <c r="EK130"/>
      <c r="EL130"/>
      <c r="EM130" s="28">
        <f t="shared" si="92"/>
        <v>2071</v>
      </c>
      <c r="EN130" s="29">
        <f>IF($C$13+$C$10&gt;=EM130,-(AG130),IF(EM130=$C$13+$C$10+1,$FB$93,0))</f>
        <v>0</v>
      </c>
      <c r="EO130" s="30">
        <f t="shared" si="93"/>
        <v>430891.77838569693</v>
      </c>
      <c r="EP130" s="30">
        <f t="shared" si="94"/>
        <v>7720348.0202804087</v>
      </c>
      <c r="EQ130" s="30">
        <f t="shared" si="166"/>
        <v>0</v>
      </c>
      <c r="ER130" s="25">
        <f t="shared" si="143"/>
        <v>8260772.381700038</v>
      </c>
      <c r="ES130" s="30">
        <f t="shared" si="95"/>
        <v>540424.36141962931</v>
      </c>
      <c r="ET130" s="26">
        <f t="shared" si="144"/>
        <v>3782.9705299374</v>
      </c>
      <c r="EU130" s="30">
        <f t="shared" si="96"/>
        <v>3782.9705299374</v>
      </c>
      <c r="EV130" s="25">
        <f t="shared" si="145"/>
        <v>0</v>
      </c>
      <c r="EW130" s="31">
        <f t="shared" si="97"/>
        <v>54809.164223200336</v>
      </c>
      <c r="EX130" s="27">
        <f>IF(EM130=0,EX129,IF(EM130&lt;=$FB$88+$C$10,ABS(EN130)+EX129,EX129))</f>
        <v>430891.77838569693</v>
      </c>
      <c r="EY130" s="15"/>
      <c r="EZ130"/>
      <c r="FA130"/>
      <c r="FB130"/>
      <c r="FC130" s="74"/>
      <c r="FD130" s="74"/>
      <c r="FE130" s="74"/>
      <c r="FF130" s="74"/>
      <c r="FG130" s="74"/>
      <c r="FH130" s="74"/>
      <c r="FI130" s="74"/>
      <c r="FJ130" s="28">
        <f t="shared" si="98"/>
        <v>2071</v>
      </c>
      <c r="FK130" s="65">
        <f>IF($C$13+$C$10&gt;=FJ130,-AG130,IF(FJ130=$C$13+$C$10+1,$EK$93,0))</f>
        <v>0</v>
      </c>
      <c r="FL130" s="65">
        <f t="shared" si="99"/>
        <v>74118.803999999975</v>
      </c>
      <c r="FM130" s="65">
        <f t="shared" si="100"/>
        <v>758125.19365722977</v>
      </c>
      <c r="FN130" s="65">
        <f t="shared" si="167"/>
        <v>0</v>
      </c>
      <c r="FO130" s="65">
        <f t="shared" si="146"/>
        <v>811193.9572132359</v>
      </c>
      <c r="FP130" s="65">
        <f t="shared" si="101"/>
        <v>53068.763556006132</v>
      </c>
      <c r="FQ130" s="59">
        <f t="shared" si="147"/>
        <v>371.48134489204256</v>
      </c>
      <c r="FR130" s="60">
        <f t="shared" si="148"/>
        <v>16223.879144264718</v>
      </c>
      <c r="FS130" s="65">
        <f t="shared" si="102"/>
        <v>0</v>
      </c>
      <c r="FT130" s="65">
        <f t="shared" si="103"/>
        <v>0</v>
      </c>
      <c r="FU130" s="65">
        <f t="shared" si="149"/>
        <v>0</v>
      </c>
      <c r="FV130" s="65">
        <f t="shared" si="168"/>
        <v>2784.0699370098732</v>
      </c>
      <c r="FW130" s="61">
        <f t="shared" si="169"/>
        <v>13439.809207254844</v>
      </c>
      <c r="FX130" s="61">
        <f>IF(AND(FJ130&lt;=$GF$88+$C$10,FV129&lt;=0,FN130&gt;0),(FJ130-$C$10+1)*AG130+$GF$80,FX129)</f>
        <v>73074.599999999977</v>
      </c>
      <c r="FY130" s="62">
        <f t="shared" si="170"/>
        <v>13.178171536810614</v>
      </c>
      <c r="FZ130" s="63">
        <f t="shared" si="104"/>
        <v>811193.9572132359</v>
      </c>
      <c r="GA130" s="64">
        <f t="shared" si="105"/>
        <v>15471.942727698568</v>
      </c>
      <c r="GB130" s="64">
        <f t="shared" si="106"/>
        <v>301187.99873795675</v>
      </c>
      <c r="GC130" s="66">
        <f t="shared" si="150"/>
        <v>0</v>
      </c>
      <c r="GD130" s="64">
        <f t="shared" si="107"/>
        <v>1580.6039999999994</v>
      </c>
      <c r="GE130"/>
      <c r="GF130"/>
      <c r="GG130" s="74"/>
      <c r="GH130" s="74"/>
      <c r="GI130" s="28">
        <f t="shared" si="108"/>
        <v>2071</v>
      </c>
      <c r="GJ130" s="9">
        <f>IF($GX$88+$C$10&gt;=GI130,-AG130,IF(GI130=$GX$88+$C$10+1,$FB$93,0))</f>
        <v>0</v>
      </c>
      <c r="GK130" s="5">
        <f t="shared" si="109"/>
        <v>604799.33927066438</v>
      </c>
      <c r="GL130" s="5">
        <f t="shared" si="110"/>
        <v>6772855.629364403</v>
      </c>
      <c r="GM130" s="35">
        <f t="shared" si="171"/>
        <v>12254.068350120597</v>
      </c>
      <c r="GN130" s="4">
        <f t="shared" si="151"/>
        <v>7260067.3765545404</v>
      </c>
      <c r="GO130" s="5">
        <f t="shared" si="111"/>
        <v>474957.67884001695</v>
      </c>
      <c r="GP130" s="5">
        <f t="shared" si="152"/>
        <v>3324.7037518801162</v>
      </c>
      <c r="GQ130" s="5">
        <f t="shared" si="112"/>
        <v>3324.7037518801162</v>
      </c>
      <c r="GR130" s="4">
        <f t="shared" si="153"/>
        <v>613.82343019086636</v>
      </c>
      <c r="GS130" s="7">
        <f t="shared" si="113"/>
        <v>46586.876260987105</v>
      </c>
      <c r="GT130" s="107" t="e">
        <f>IF($DG$62=0,EX130,IF(GI130-$C$10+1&lt;=$GF$98,0,#REF!-FX130))</f>
        <v>#REF!</v>
      </c>
      <c r="GU130"/>
      <c r="GV130"/>
      <c r="GW130"/>
      <c r="GX130"/>
      <c r="GY130" s="74"/>
      <c r="GZ130" s="74"/>
      <c r="HA130" s="74"/>
      <c r="HB130" s="74"/>
      <c r="HC130" s="74"/>
      <c r="HD130" s="74"/>
    </row>
    <row r="131" spans="2:212" ht="16.149999999999999" thickBot="1" x14ac:dyDescent="0.55000000000000004">
      <c r="B131" s="333"/>
      <c r="C131" s="75"/>
      <c r="D131" s="75"/>
      <c r="F131" s="75"/>
      <c r="G131" s="75"/>
      <c r="H131" s="75"/>
      <c r="I131" s="75"/>
      <c r="J131" s="75"/>
      <c r="K131" s="75"/>
      <c r="L131" s="75"/>
      <c r="M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AB131" s="117" t="str">
        <f t="shared" si="34"/>
        <v/>
      </c>
      <c r="AC131" s="117" t="str">
        <f t="shared" si="35"/>
        <v/>
      </c>
      <c r="AD131" s="299">
        <f>IF($C$20="NEIN",$C$21,IF($C$22="JA",'HISTORISCHE RENDITEN'!E55,'HISTORISCHE RENDITEN'!D55))</f>
        <v>-2.46E-2</v>
      </c>
      <c r="AE131" s="129">
        <f t="shared" si="172"/>
        <v>79</v>
      </c>
      <c r="AF131" s="120">
        <f t="shared" si="154"/>
        <v>2072</v>
      </c>
      <c r="AG131" s="122">
        <f t="shared" si="123"/>
        <v>0</v>
      </c>
      <c r="AH131" s="124">
        <f t="shared" si="155"/>
        <v>430891.77838569693</v>
      </c>
      <c r="AI131" s="296">
        <f t="shared" si="114"/>
        <v>988122.00982567295</v>
      </c>
      <c r="AJ131" s="123">
        <f t="shared" si="67"/>
        <v>0</v>
      </c>
      <c r="AK131" s="124">
        <f t="shared" si="156"/>
        <v>963814.20838396146</v>
      </c>
      <c r="AL131" s="122">
        <f t="shared" si="124"/>
        <v>-24307.80144171149</v>
      </c>
      <c r="AM131" s="122" t="b">
        <f>IF($C$25="Ausschütter",0,IF(AL131&gt;=0,(AI131+AJ131)*$C$48*0.7))</f>
        <v>0</v>
      </c>
      <c r="AN131" s="122">
        <f t="shared" si="125"/>
        <v>0</v>
      </c>
      <c r="AO131" s="122">
        <f t="shared" si="39"/>
        <v>0</v>
      </c>
      <c r="AP131" s="122">
        <f t="shared" si="69"/>
        <v>17615.281583995958</v>
      </c>
      <c r="AQ131" s="122">
        <f>IF($C$25="AUSSCHÜTTER",0,IF(AO131*$C$46*$C$49&lt;=$C$47,0,AO131*$C$46*$C$49))</f>
        <v>0</v>
      </c>
      <c r="AR131" s="122">
        <f>IF(AO130*$C$49&gt;$C$47,(AN131)*$C$49*$C$46,IF((AO130+AN131)*$C$49&gt;$C$47,((AO130+AN131)*$C$49-$C$47)*$C$46,0))</f>
        <v>0</v>
      </c>
      <c r="AS131" s="122">
        <f t="shared" si="70"/>
        <v>0</v>
      </c>
      <c r="AT131" s="122">
        <f t="shared" si="157"/>
        <v>430891.77838569693</v>
      </c>
      <c r="AU131" s="122">
        <f t="shared" si="115"/>
        <v>0</v>
      </c>
      <c r="AV131" s="122">
        <f t="shared" si="71"/>
        <v>963814.20838396146</v>
      </c>
      <c r="AW131" s="122">
        <f t="shared" si="158"/>
        <v>0</v>
      </c>
      <c r="AX131" s="130">
        <f t="shared" si="159"/>
        <v>0</v>
      </c>
      <c r="AY131" s="82">
        <f>IF(AF131&lt;$C$11,$C$15*(1+$C$19)^(AF131-$C$10),0)</f>
        <v>0</v>
      </c>
      <c r="AZ131" s="82">
        <f>$C$14*(1+$C$37)^(AF131-$C$10)</f>
        <v>63414.655878530371</v>
      </c>
      <c r="BA131" s="165">
        <f>IF(AF131&lt;$C$11,0,MAX($C$38*AI131,AZ131))</f>
        <v>63414.655878530371</v>
      </c>
      <c r="BB131" s="82">
        <f>IF(AF131&lt;$C$11,0,MAX($C$38*AI131,AZ131))</f>
        <v>63414.655878530371</v>
      </c>
      <c r="BC131" s="136">
        <f>IF($C$39="JA",CT131,DG131)</f>
        <v>16725.615487962383</v>
      </c>
      <c r="BD131" s="82">
        <f t="shared" si="126"/>
        <v>0</v>
      </c>
      <c r="BE131" s="82">
        <f>IF(AF131&lt;($C$8+$C$30),0,$C$29*12*(1-$C$31))</f>
        <v>0</v>
      </c>
      <c r="BF131" s="82">
        <f>IF(AF131&lt;($C$8+$C$34),0,$C$33*12*(1-$C$35))</f>
        <v>0</v>
      </c>
      <c r="BG131" s="82">
        <f>IF(AF131&lt;$C$11,0,IF(AI131&lt;0,$C$42*(1+$C$44)^(AF131-$C$10),IF(((AL131+BE131+BF131)*$C$41)&lt;$C$42*(1+$C$44)^(AF131-$C$10),$C$42*(1+$C$44)^(AF131-$C$10),IF(((AL131+BE131+BF131)*$C$41)&lt;$C$43*(1+$C$44)^(AF131-$C$10),(AL131+BE131+BF131)*$C$41,IF(((AL131+BE131+BF131+BB131)*$C$41)&lt;$C$43*(1+$C$44)^(AF131-$C$10),((AL131+BE131+BF131+BB131)*$C$41),$C$43*(1+$C$44)^(AF131-$C$10))))))</f>
        <v>5128.370536599773</v>
      </c>
      <c r="BH131" s="82">
        <f t="shared" si="72"/>
        <v>85268.641903092532</v>
      </c>
      <c r="BI131" s="242">
        <f t="shared" si="73"/>
        <v>963814.20838396146</v>
      </c>
      <c r="BJ131" s="217">
        <f t="shared" si="74"/>
        <v>878545.56648086896</v>
      </c>
      <c r="BK131" s="118"/>
      <c r="BL131" s="219">
        <f t="shared" si="127"/>
        <v>35</v>
      </c>
      <c r="BM131" s="220">
        <f t="shared" si="128"/>
        <v>52</v>
      </c>
      <c r="BN131" s="220">
        <f t="shared" si="121"/>
        <v>0</v>
      </c>
      <c r="BO131" s="221">
        <f t="shared" si="129"/>
        <v>0</v>
      </c>
      <c r="BP131" s="221">
        <f t="shared" si="130"/>
        <v>0</v>
      </c>
      <c r="BQ131" s="222">
        <f t="shared" si="9"/>
        <v>0</v>
      </c>
      <c r="BR131" s="223">
        <f>IF(BM131&lt;$C$11-$C$10+1,0,IF(BL131&lt;=$C$13,VLOOKUP(BL131,$BN$80:$BQ$156,2,FALSE)-BS131,0))</f>
        <v>0</v>
      </c>
      <c r="BS131" s="223">
        <f>IF(BM131&lt;$C$11-$C$10+1,0,IF(BL131&lt;=$C$13,VLOOKUP(BL131,$BN$80:$BQ$156,3,FALSE),0))</f>
        <v>0</v>
      </c>
      <c r="BT131" s="222">
        <f>IF(BM131&lt;$C$11-$C$10+1,0,IF(BL131&lt;=$C$13,VLOOKUP(BL131,$BN$80:$BQ$156,4,FALSE),0))</f>
        <v>0</v>
      </c>
      <c r="BU131" s="223">
        <f t="shared" si="160"/>
        <v>0</v>
      </c>
      <c r="BV131" s="223">
        <f t="shared" si="161"/>
        <v>0</v>
      </c>
      <c r="BW131" s="223">
        <f t="shared" si="118"/>
        <v>0</v>
      </c>
      <c r="BX131" s="223">
        <f>IF(AND(BS131&lt;=0,BN131=0),MIN((MAX($BZ$80:$BZ$156)-SUM($BX$80:BX130)),CA131),IF(BS131&lt;CA131,BS131,CA131))</f>
        <v>0</v>
      </c>
      <c r="BY131" s="222">
        <f>IF(BN131&gt;0,0,IF(AND(BN131=0,BT131&lt;=0),100%,((BW130*(AVERAGE($BT$80:BT130))+(BR131*BT131))/(BR131+BW130+BS131+BV130))))</f>
        <v>1</v>
      </c>
      <c r="BZ131" s="139">
        <f t="shared" si="162"/>
        <v>430891.77838569693</v>
      </c>
      <c r="CA131" s="122">
        <f t="shared" si="131"/>
        <v>63414.655878530371</v>
      </c>
      <c r="CB131" s="181">
        <f t="shared" si="47"/>
        <v>1</v>
      </c>
      <c r="CC131" s="122">
        <f t="shared" si="48"/>
        <v>1692243.4404423749</v>
      </c>
      <c r="CD131" s="182">
        <f t="shared" si="119"/>
        <v>0</v>
      </c>
      <c r="CE131" s="122">
        <f t="shared" si="75"/>
        <v>430891.77838569693</v>
      </c>
      <c r="CF131" s="122">
        <f t="shared" si="76"/>
        <v>0</v>
      </c>
      <c r="CG131" s="122" t="str">
        <f t="shared" si="132"/>
        <v/>
      </c>
      <c r="CH131" s="140">
        <f t="shared" si="133"/>
        <v>1</v>
      </c>
      <c r="CI131" s="142">
        <f t="shared" si="77"/>
        <v>9984</v>
      </c>
      <c r="CJ131" s="134">
        <f>CI131*$C$57</f>
        <v>0</v>
      </c>
      <c r="CK131" s="142">
        <f t="shared" si="78"/>
        <v>14926</v>
      </c>
      <c r="CL131" s="134">
        <f>CK131*$C$57</f>
        <v>0</v>
      </c>
      <c r="CM131" s="142">
        <f t="shared" si="79"/>
        <v>58596</v>
      </c>
      <c r="CN131" s="134">
        <f>CM131*$C$57</f>
        <v>0</v>
      </c>
      <c r="CO131" s="132">
        <f t="shared" si="117"/>
        <v>63414.655878530371</v>
      </c>
      <c r="CP131" s="140">
        <f t="shared" si="134"/>
        <v>0.42</v>
      </c>
      <c r="CQ131" s="121" t="str">
        <f>IF($C$50="NEIN","NEIN",IF(CS131&lt;CR131,"JA","NEIN"))</f>
        <v>NEIN</v>
      </c>
      <c r="CR131" s="121">
        <f>CO131*$C$46</f>
        <v>16725.615487962383</v>
      </c>
      <c r="CS131" s="121">
        <f t="shared" si="135"/>
        <v>17366.625468982755</v>
      </c>
      <c r="CT131" s="201">
        <f>IF($C$50="NEIN",CR131,IF(CQ131="NEIN",CR131,CS131))</f>
        <v>16725.615487962383</v>
      </c>
      <c r="CU131" s="149"/>
      <c r="CV131" s="202">
        <f t="shared" si="80"/>
        <v>9984</v>
      </c>
      <c r="CW131" s="134">
        <f>CV131*$C$57</f>
        <v>0</v>
      </c>
      <c r="CX131" s="142">
        <f t="shared" si="81"/>
        <v>14926</v>
      </c>
      <c r="CY131" s="134">
        <f>CX131*$C$57</f>
        <v>0</v>
      </c>
      <c r="CZ131" s="142">
        <f t="shared" si="82"/>
        <v>58596</v>
      </c>
      <c r="DA131" s="143">
        <f>CZ131*$C$57</f>
        <v>0</v>
      </c>
      <c r="DB131" s="165">
        <f t="shared" si="120"/>
        <v>63414.655878530371</v>
      </c>
      <c r="DC131" s="140">
        <f t="shared" si="136"/>
        <v>0.42</v>
      </c>
      <c r="DD131" s="121" t="str">
        <f>IF($C$50="NEIN","NEIN",IF(DF131&lt;DE131,"JA","NEIN"))</f>
        <v>NEIN</v>
      </c>
      <c r="DE131" s="121">
        <f>DB131*$C$46</f>
        <v>16725.615487962383</v>
      </c>
      <c r="DF131" s="121">
        <f t="shared" si="137"/>
        <v>17366.625468982755</v>
      </c>
      <c r="DG131" s="201">
        <f>IF($C$50="NEIN",DE131,IF(DD131="NEIN",DE131,DF131))</f>
        <v>16725.615487962383</v>
      </c>
      <c r="DH131" s="159"/>
      <c r="DI131" s="74"/>
      <c r="DJ131" s="74"/>
      <c r="DK131" s="128"/>
      <c r="DL131" s="128"/>
      <c r="DM131" s="128"/>
      <c r="DN131" s="74"/>
      <c r="DO131" s="28">
        <f t="shared" si="83"/>
        <v>2072</v>
      </c>
      <c r="DP131" s="17">
        <f>IF($C$13+$C$10&gt;=DO131,-AG131,IF(DO131=$C$13+$C$10+1,$EK$93,0))</f>
        <v>0</v>
      </c>
      <c r="DQ131" s="17">
        <f t="shared" si="84"/>
        <v>2197049.6263195626</v>
      </c>
      <c r="DR131" s="17">
        <f t="shared" si="85"/>
        <v>6970404.7300760513</v>
      </c>
      <c r="DS131" s="17">
        <f t="shared" si="163"/>
        <v>116200.93225583184</v>
      </c>
      <c r="DT131" s="17">
        <f t="shared" si="138"/>
        <v>7582668.0586951151</v>
      </c>
      <c r="DU131" s="17">
        <f t="shared" si="86"/>
        <v>496062.39636323228</v>
      </c>
      <c r="DV131" s="33">
        <f t="shared" si="139"/>
        <v>3472.4367745426225</v>
      </c>
      <c r="DW131" s="32">
        <f t="shared" si="140"/>
        <v>151653.36117390232</v>
      </c>
      <c r="DX131" s="17">
        <f t="shared" si="87"/>
        <v>0</v>
      </c>
      <c r="DY131" s="17">
        <f t="shared" si="88"/>
        <v>0</v>
      </c>
      <c r="DZ131" s="17">
        <f t="shared" si="141"/>
        <v>0</v>
      </c>
      <c r="EA131" s="17">
        <f t="shared" si="164"/>
        <v>27787.738056731712</v>
      </c>
      <c r="EB131" s="15">
        <f t="shared" si="165"/>
        <v>123865.6231171706</v>
      </c>
      <c r="EC131" s="15">
        <f>IF(DP131=0,EC130,IF(DO131&lt;=$EK$88+$C$10,ABS(DP131)+EC130,EC130))</f>
        <v>430891.77838569693</v>
      </c>
      <c r="ED131" s="15">
        <f t="shared" si="89"/>
        <v>414644.27635051054</v>
      </c>
      <c r="EE131" s="16">
        <f t="shared" si="90"/>
        <v>7582668.0586951151</v>
      </c>
      <c r="EF131" s="15">
        <f t="shared" si="142"/>
        <v>116200.93225583184</v>
      </c>
      <c r="EG131" s="15">
        <f t="shared" si="91"/>
        <v>1766157.8479338659</v>
      </c>
      <c r="EH131" s="16"/>
      <c r="EI131" s="16"/>
      <c r="EJ131"/>
      <c r="EK131"/>
      <c r="EL131"/>
      <c r="EM131" s="28">
        <f t="shared" si="92"/>
        <v>2072</v>
      </c>
      <c r="EN131" s="29">
        <f>IF($C$13+$C$10&gt;=EM131,-(AG131),IF(EM131=$C$13+$C$10+1,$FB$93,0))</f>
        <v>0</v>
      </c>
      <c r="EO131" s="30">
        <f t="shared" si="93"/>
        <v>430891.77838569693</v>
      </c>
      <c r="EP131" s="30">
        <f t="shared" si="94"/>
        <v>8260772.381700038</v>
      </c>
      <c r="EQ131" s="30">
        <f t="shared" si="166"/>
        <v>0</v>
      </c>
      <c r="ER131" s="25">
        <f t="shared" si="143"/>
        <v>8839026.4484190419</v>
      </c>
      <c r="ES131" s="30">
        <f t="shared" si="95"/>
        <v>578254.06671900395</v>
      </c>
      <c r="ET131" s="26">
        <f t="shared" si="144"/>
        <v>4047.7784670330184</v>
      </c>
      <c r="EU131" s="30">
        <f t="shared" si="96"/>
        <v>4047.7784670330184</v>
      </c>
      <c r="EV131" s="25">
        <f t="shared" si="145"/>
        <v>0</v>
      </c>
      <c r="EW131" s="31">
        <f t="shared" si="97"/>
        <v>58856.942690233351</v>
      </c>
      <c r="EX131" s="27">
        <f>IF(EM131=0,EX130,IF(EM131&lt;=$FB$88+$C$10,ABS(EN131)+EX130,EX130))</f>
        <v>430891.77838569693</v>
      </c>
      <c r="EY131" s="15"/>
      <c r="EZ131"/>
      <c r="FA131"/>
      <c r="FB131"/>
      <c r="FC131" s="74"/>
      <c r="FD131" s="74"/>
      <c r="FE131" s="74"/>
      <c r="FF131" s="74"/>
      <c r="FG131" s="74"/>
      <c r="FH131" s="74"/>
      <c r="FI131" s="74"/>
      <c r="FJ131" s="28">
        <f t="shared" si="98"/>
        <v>2072</v>
      </c>
      <c r="FK131" s="65">
        <f>IF($C$13+$C$10&gt;=FJ131,-AG131,IF(FJ131=$C$13+$C$10+1,$EK$93,0))</f>
        <v>0</v>
      </c>
      <c r="FL131" s="65">
        <f t="shared" si="99"/>
        <v>74118.803999999975</v>
      </c>
      <c r="FM131" s="65">
        <f t="shared" si="100"/>
        <v>794970.07806897117</v>
      </c>
      <c r="FN131" s="65">
        <f t="shared" si="167"/>
        <v>0</v>
      </c>
      <c r="FO131" s="65">
        <f t="shared" si="146"/>
        <v>850617.98353379918</v>
      </c>
      <c r="FP131" s="65">
        <f t="shared" si="101"/>
        <v>55647.905464828014</v>
      </c>
      <c r="FQ131" s="59">
        <f t="shared" si="147"/>
        <v>389.53533825379583</v>
      </c>
      <c r="FR131" s="60">
        <f t="shared" si="148"/>
        <v>17012.359670675985</v>
      </c>
      <c r="FS131" s="65">
        <f t="shared" si="102"/>
        <v>0</v>
      </c>
      <c r="FT131" s="65">
        <f t="shared" si="103"/>
        <v>0</v>
      </c>
      <c r="FU131" s="65">
        <f t="shared" si="149"/>
        <v>0</v>
      </c>
      <c r="FV131" s="65">
        <f t="shared" si="168"/>
        <v>2929.6431541985535</v>
      </c>
      <c r="FW131" s="61">
        <f t="shared" si="169"/>
        <v>14082.716516477432</v>
      </c>
      <c r="FX131" s="61">
        <f>IF(AND(FJ131&lt;=$GF$88+$C$10,FV130&lt;=0,FN131&gt;0),(FJ131-$C$10+1)*AG131+$GF$80,FX130)</f>
        <v>73074.599999999977</v>
      </c>
      <c r="FY131" s="62">
        <f t="shared" si="170"/>
        <v>13.867230673499611</v>
      </c>
      <c r="FZ131" s="63">
        <f t="shared" si="104"/>
        <v>850617.98353379918</v>
      </c>
      <c r="GA131" s="64">
        <f t="shared" si="105"/>
        <v>16223.879144264718</v>
      </c>
      <c r="GB131" s="64">
        <f t="shared" si="106"/>
        <v>317411.87788222148</v>
      </c>
      <c r="GC131" s="66">
        <f t="shared" si="150"/>
        <v>0</v>
      </c>
      <c r="GD131" s="64">
        <f t="shared" si="107"/>
        <v>1580.6039999999994</v>
      </c>
      <c r="GE131"/>
      <c r="GF131"/>
      <c r="GG131" s="74"/>
      <c r="GH131" s="74"/>
      <c r="GI131" s="28">
        <f t="shared" si="108"/>
        <v>2072</v>
      </c>
      <c r="GJ131" s="9">
        <f>IF($GX$88+$C$10&gt;=GI131,-AG131,IF(GI131=$GX$88+$C$10+1,$FB$93,0))</f>
        <v>0</v>
      </c>
      <c r="GK131" s="5">
        <f t="shared" si="109"/>
        <v>617625.32504772837</v>
      </c>
      <c r="GL131" s="5">
        <f t="shared" si="110"/>
        <v>7260067.3765545404</v>
      </c>
      <c r="GM131" s="35">
        <f t="shared" si="171"/>
        <v>12825.985777063977</v>
      </c>
      <c r="GN131" s="4">
        <f t="shared" si="151"/>
        <v>7781995.8976948177</v>
      </c>
      <c r="GO131" s="5">
        <f t="shared" si="111"/>
        <v>509102.53536321316</v>
      </c>
      <c r="GP131" s="5">
        <f t="shared" si="152"/>
        <v>3563.717747542486</v>
      </c>
      <c r="GQ131" s="5">
        <f t="shared" si="112"/>
        <v>3563.717747542486</v>
      </c>
      <c r="GR131" s="4">
        <f t="shared" si="153"/>
        <v>657.95138914003132</v>
      </c>
      <c r="GS131" s="7">
        <f t="shared" si="113"/>
        <v>50150.594008529588</v>
      </c>
      <c r="GT131" s="107" t="e">
        <f>IF($DG$62=0,EX131,IF(GI131-$C$10+1&lt;=$GF$98,0,#REF!-FX131))</f>
        <v>#REF!</v>
      </c>
      <c r="GU131"/>
      <c r="GV131"/>
      <c r="GW131"/>
      <c r="GX131"/>
      <c r="GY131" s="74"/>
      <c r="GZ131" s="74"/>
      <c r="HA131" s="74"/>
      <c r="HB131" s="74"/>
      <c r="HC131" s="74"/>
      <c r="HD131" s="74"/>
    </row>
    <row r="132" spans="2:212" ht="16.149999999999999" thickBot="1" x14ac:dyDescent="0.55000000000000004">
      <c r="B132" s="333"/>
      <c r="C132" s="75"/>
      <c r="D132" s="75"/>
      <c r="F132" s="75"/>
      <c r="G132" s="75"/>
      <c r="H132" s="75"/>
      <c r="I132" s="75"/>
      <c r="J132" s="75"/>
      <c r="K132" s="75"/>
      <c r="L132" s="75"/>
      <c r="M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AB132" s="117" t="str">
        <f t="shared" si="34"/>
        <v/>
      </c>
      <c r="AC132" s="117" t="str">
        <f t="shared" si="35"/>
        <v/>
      </c>
      <c r="AD132" s="299">
        <f>IF($C$20="NEIN",$C$21,IF($C$22="JA",'HISTORISCHE RENDITEN'!E56,'HISTORISCHE RENDITEN'!D56))</f>
        <v>0.1268</v>
      </c>
      <c r="AE132" s="129">
        <f t="shared" si="172"/>
        <v>80</v>
      </c>
      <c r="AF132" s="120">
        <f t="shared" si="154"/>
        <v>2073</v>
      </c>
      <c r="AG132" s="122">
        <f t="shared" si="123"/>
        <v>0</v>
      </c>
      <c r="AH132" s="124">
        <f t="shared" si="155"/>
        <v>430891.77838569693</v>
      </c>
      <c r="AI132" s="296">
        <f t="shared" si="114"/>
        <v>878545.56648086896</v>
      </c>
      <c r="AJ132" s="123">
        <f t="shared" si="67"/>
        <v>0</v>
      </c>
      <c r="AK132" s="124">
        <f t="shared" si="156"/>
        <v>989945.1443106432</v>
      </c>
      <c r="AL132" s="122">
        <f t="shared" si="124"/>
        <v>111399.57782977424</v>
      </c>
      <c r="AM132" s="122">
        <f>IF($C$25="Ausschütter",0,IF(AL132&gt;=0,(AI132+AJ132)*$C$48*0.7))</f>
        <v>430.48732757562573</v>
      </c>
      <c r="AN132" s="122">
        <f t="shared" si="125"/>
        <v>0</v>
      </c>
      <c r="AO132" s="122">
        <f t="shared" si="39"/>
        <v>430.48732757562573</v>
      </c>
      <c r="AP132" s="122">
        <f t="shared" si="69"/>
        <v>18045.768911571584</v>
      </c>
      <c r="AQ132" s="122">
        <f>IF($C$25="AUSSCHÜTTER",0,IF(AO132*$C$46*$C$49&lt;=$C$47,0,AO132*$C$46*$C$49))</f>
        <v>0</v>
      </c>
      <c r="AR132" s="122">
        <f>IF(AO131*$C$49&gt;$C$47,(AN132)*$C$49*$C$46,IF((AO131+AN132)*$C$49&gt;$C$47,((AO131+AN132)*$C$49-$C$47)*$C$46,0))</f>
        <v>0</v>
      </c>
      <c r="AS132" s="122">
        <f t="shared" si="70"/>
        <v>0</v>
      </c>
      <c r="AT132" s="122">
        <f t="shared" si="157"/>
        <v>430891.77838569693</v>
      </c>
      <c r="AU132" s="122">
        <f t="shared" si="115"/>
        <v>0</v>
      </c>
      <c r="AV132" s="122">
        <f t="shared" si="71"/>
        <v>989945.1443106432</v>
      </c>
      <c r="AW132" s="122">
        <f t="shared" si="158"/>
        <v>0</v>
      </c>
      <c r="AX132" s="130">
        <f t="shared" si="159"/>
        <v>0</v>
      </c>
      <c r="AY132" s="82">
        <f>IF(AF132&lt;$C$11,$C$15*(1+$C$19)^(AF132-$C$10),0)</f>
        <v>0</v>
      </c>
      <c r="AZ132" s="82">
        <f>$C$14*(1+$C$37)^(AF132-$C$10)</f>
        <v>65000.022275493619</v>
      </c>
      <c r="BA132" s="165">
        <f>IF(AF132&lt;$C$11,0,MAX($C$38*AI132,AZ132))</f>
        <v>65000.022275493619</v>
      </c>
      <c r="BB132" s="82">
        <f>IF(AF132&lt;$C$11,0,MAX($C$38*AI132,AZ132))</f>
        <v>65000.022275493619</v>
      </c>
      <c r="BC132" s="136">
        <f>IF($C$39="JA",CT132,DG132)</f>
        <v>17143.755875161442</v>
      </c>
      <c r="BD132" s="82">
        <f t="shared" si="126"/>
        <v>0</v>
      </c>
      <c r="BE132" s="82">
        <f>IF(AF132&lt;($C$8+$C$30),0,$C$29*12*(1-$C$31))</f>
        <v>0</v>
      </c>
      <c r="BF132" s="82">
        <f>IF(AF132&lt;($C$8+$C$34),0,$C$33*12*(1-$C$35))</f>
        <v>0</v>
      </c>
      <c r="BG132" s="82">
        <f>IF(AF132&lt;$C$11,0,IF(AI132&lt;0,$C$42*(1+$C$44)^(AF132-$C$10),IF(((AL132+BE132+BF132)*$C$41)&lt;$C$42*(1+$C$44)^(AF132-$C$10),$C$42*(1+$C$44)^(AF132-$C$10),IF(((AL132+BE132+BF132)*$C$41)&lt;$C$43*(1+$C$44)^(AF132-$C$10),(AL132+BE132+BF132)*$C$41,IF(((AL132+BE132+BF132+BB132)*$C$41)&lt;$C$43*(1+$C$44)^(AF132-$C$10),((AL132+BE132+BF132+BB132)*$C$41),$C$43*(1+$C$44)^(AF132-$C$10))))))</f>
        <v>21165.919787657105</v>
      </c>
      <c r="BH132" s="82">
        <f t="shared" si="72"/>
        <v>103309.69793831217</v>
      </c>
      <c r="BI132" s="242">
        <f t="shared" si="73"/>
        <v>989945.1443106432</v>
      </c>
      <c r="BJ132" s="217">
        <f t="shared" si="74"/>
        <v>886635.446372331</v>
      </c>
      <c r="BK132" s="118"/>
      <c r="BL132" s="219">
        <f t="shared" si="127"/>
        <v>36</v>
      </c>
      <c r="BM132" s="220">
        <f t="shared" si="128"/>
        <v>53</v>
      </c>
      <c r="BN132" s="220">
        <f t="shared" si="121"/>
        <v>0</v>
      </c>
      <c r="BO132" s="221">
        <f t="shared" si="129"/>
        <v>0</v>
      </c>
      <c r="BP132" s="221">
        <f t="shared" si="130"/>
        <v>0</v>
      </c>
      <c r="BQ132" s="222">
        <f t="shared" si="9"/>
        <v>0</v>
      </c>
      <c r="BR132" s="223">
        <f>IF(BM132&lt;$C$11-$C$10+1,0,IF(BL132&lt;=$C$13,VLOOKUP(BL132,$BN$80:$BQ$156,2,FALSE)-BS132,0))</f>
        <v>0</v>
      </c>
      <c r="BS132" s="223">
        <f>IF(BM132&lt;$C$11-$C$10+1,0,IF(BL132&lt;=$C$13,VLOOKUP(BL132,$BN$80:$BQ$156,3,FALSE),0))</f>
        <v>0</v>
      </c>
      <c r="BT132" s="222">
        <f>IF(BM132&lt;$C$11-$C$10+1,0,IF(BL132&lt;=$C$13,VLOOKUP(BL132,$BN$80:$BQ$156,4,FALSE),0))</f>
        <v>0</v>
      </c>
      <c r="BU132" s="223">
        <f t="shared" si="160"/>
        <v>0</v>
      </c>
      <c r="BV132" s="223">
        <f t="shared" si="161"/>
        <v>0</v>
      </c>
      <c r="BW132" s="223">
        <f t="shared" si="118"/>
        <v>0</v>
      </c>
      <c r="BX132" s="223">
        <f>IF(AND(BS132&lt;=0,BN132=0),MIN((MAX($BZ$80:$BZ$156)-SUM($BX$80:BX131)),CA132),IF(BS132&lt;CA132,BS132,CA132))</f>
        <v>0</v>
      </c>
      <c r="BY132" s="222">
        <f>IF(BN132&gt;0,0,IF(AND(BN132=0,BT132&lt;=0),100%,((BW131*(AVERAGE($BT$80:BT131))+(BR132*BT132))/(BR132+BW131+BS132+BV131))))</f>
        <v>1</v>
      </c>
      <c r="BZ132" s="139">
        <f t="shared" si="162"/>
        <v>430891.77838569693</v>
      </c>
      <c r="CA132" s="122">
        <f t="shared" si="131"/>
        <v>65000.022275493619</v>
      </c>
      <c r="CB132" s="181">
        <f t="shared" si="47"/>
        <v>1</v>
      </c>
      <c r="CC132" s="122">
        <f t="shared" si="48"/>
        <v>1757243.4627178686</v>
      </c>
      <c r="CD132" s="182">
        <f t="shared" si="119"/>
        <v>0</v>
      </c>
      <c r="CE132" s="122">
        <f t="shared" si="75"/>
        <v>430891.77838569693</v>
      </c>
      <c r="CF132" s="122">
        <f t="shared" si="76"/>
        <v>0</v>
      </c>
      <c r="CG132" s="122" t="str">
        <f t="shared" si="132"/>
        <v/>
      </c>
      <c r="CH132" s="140">
        <f t="shared" si="133"/>
        <v>1</v>
      </c>
      <c r="CI132" s="142">
        <f t="shared" si="77"/>
        <v>9984</v>
      </c>
      <c r="CJ132" s="134">
        <f>CI132*$C$57</f>
        <v>0</v>
      </c>
      <c r="CK132" s="142">
        <f t="shared" si="78"/>
        <v>14926</v>
      </c>
      <c r="CL132" s="134">
        <f>CK132*$C$57</f>
        <v>0</v>
      </c>
      <c r="CM132" s="142">
        <f t="shared" si="79"/>
        <v>58596</v>
      </c>
      <c r="CN132" s="134">
        <f>CM132*$C$57</f>
        <v>0</v>
      </c>
      <c r="CO132" s="132">
        <f t="shared" si="117"/>
        <v>65000.022275493619</v>
      </c>
      <c r="CP132" s="140">
        <f t="shared" si="134"/>
        <v>0.42</v>
      </c>
      <c r="CQ132" s="121" t="str">
        <f>IF($C$50="NEIN","NEIN",IF(CS132&lt;CR132,"JA","NEIN"))</f>
        <v>NEIN</v>
      </c>
      <c r="CR132" s="121">
        <f>CO132*$C$46</f>
        <v>17143.755875161442</v>
      </c>
      <c r="CS132" s="121">
        <f t="shared" si="135"/>
        <v>18032.479355707321</v>
      </c>
      <c r="CT132" s="201">
        <f>IF($C$50="NEIN",CR132,IF(CQ132="NEIN",CR132,CS132))</f>
        <v>17143.755875161442</v>
      </c>
      <c r="CU132" s="149"/>
      <c r="CV132" s="202">
        <f t="shared" si="80"/>
        <v>9984</v>
      </c>
      <c r="CW132" s="134">
        <f>CV132*$C$57</f>
        <v>0</v>
      </c>
      <c r="CX132" s="142">
        <f t="shared" si="81"/>
        <v>14926</v>
      </c>
      <c r="CY132" s="134">
        <f>CX132*$C$57</f>
        <v>0</v>
      </c>
      <c r="CZ132" s="142">
        <f t="shared" si="82"/>
        <v>58596</v>
      </c>
      <c r="DA132" s="143">
        <f>CZ132*$C$57</f>
        <v>0</v>
      </c>
      <c r="DB132" s="165">
        <f t="shared" si="120"/>
        <v>65000.022275493619</v>
      </c>
      <c r="DC132" s="140">
        <f t="shared" si="136"/>
        <v>0.42</v>
      </c>
      <c r="DD132" s="121" t="str">
        <f>IF($C$50="NEIN","NEIN",IF(DF132&lt;DE132,"JA","NEIN"))</f>
        <v>NEIN</v>
      </c>
      <c r="DE132" s="121">
        <f>DB132*$C$46</f>
        <v>17143.755875161442</v>
      </c>
      <c r="DF132" s="121">
        <f t="shared" si="137"/>
        <v>18032.479355707321</v>
      </c>
      <c r="DG132" s="201">
        <f>IF($C$50="NEIN",DE132,IF(DD132="NEIN",DE132,DF132))</f>
        <v>17143.755875161442</v>
      </c>
      <c r="DH132" s="159"/>
      <c r="DI132" s="74"/>
      <c r="DJ132" s="74"/>
      <c r="DK132" s="128"/>
      <c r="DL132" s="128"/>
      <c r="DM132" s="128"/>
      <c r="DN132" s="74"/>
      <c r="DO132" s="28">
        <f t="shared" si="83"/>
        <v>2073</v>
      </c>
      <c r="DP132" s="17">
        <f>IF($C$13+$C$10&gt;=DO132,-AG132,IF(DO132=$C$13+$C$10+1,$EK$93,0))</f>
        <v>0</v>
      </c>
      <c r="DQ132" s="17">
        <f t="shared" si="84"/>
        <v>2320915.2494367333</v>
      </c>
      <c r="DR132" s="17">
        <f t="shared" si="85"/>
        <v>7431014.6975212125</v>
      </c>
      <c r="DS132" s="17">
        <f t="shared" si="163"/>
        <v>123865.6231171706</v>
      </c>
      <c r="DT132" s="17">
        <f t="shared" si="138"/>
        <v>8083721.9430830702</v>
      </c>
      <c r="DU132" s="17">
        <f t="shared" si="86"/>
        <v>528841.62244468741</v>
      </c>
      <c r="DV132" s="33">
        <f t="shared" si="139"/>
        <v>3701.8913571128073</v>
      </c>
      <c r="DW132" s="32">
        <f t="shared" si="140"/>
        <v>161674.43886166142</v>
      </c>
      <c r="DX132" s="17">
        <f t="shared" si="87"/>
        <v>0</v>
      </c>
      <c r="DY132" s="17">
        <f t="shared" si="88"/>
        <v>0</v>
      </c>
      <c r="DZ132" s="17">
        <f t="shared" si="141"/>
        <v>0</v>
      </c>
      <c r="EA132" s="17">
        <f t="shared" si="164"/>
        <v>29637.879524834236</v>
      </c>
      <c r="EB132" s="15">
        <f t="shared" si="165"/>
        <v>132036.55933682719</v>
      </c>
      <c r="EC132" s="15">
        <f>IF(DP132=0,EC131,IF(DO132&lt;=$EK$88+$C$10,ABS(DP132)+EC131,EC131))</f>
        <v>430891.77838569693</v>
      </c>
      <c r="ED132" s="15">
        <f t="shared" si="89"/>
        <v>444282.15587534476</v>
      </c>
      <c r="EE132" s="16">
        <f t="shared" si="90"/>
        <v>8083721.9430830702</v>
      </c>
      <c r="EF132" s="15">
        <f t="shared" si="142"/>
        <v>123865.6231171706</v>
      </c>
      <c r="EG132" s="15">
        <f t="shared" si="91"/>
        <v>1890023.4710510364</v>
      </c>
      <c r="EH132" s="16"/>
      <c r="EI132" s="16"/>
      <c r="EJ132"/>
      <c r="EK132"/>
      <c r="EL132"/>
      <c r="EM132" s="28">
        <f t="shared" si="92"/>
        <v>2073</v>
      </c>
      <c r="EN132" s="29">
        <f>IF($C$13+$C$10&gt;=EM132,-(AG132),IF(EM132=$C$13+$C$10+1,$FB$93,0))</f>
        <v>0</v>
      </c>
      <c r="EO132" s="30">
        <f t="shared" si="93"/>
        <v>430891.77838569693</v>
      </c>
      <c r="EP132" s="30">
        <f t="shared" si="94"/>
        <v>8839026.4484190419</v>
      </c>
      <c r="EQ132" s="30">
        <f t="shared" si="166"/>
        <v>0</v>
      </c>
      <c r="ER132" s="25">
        <f t="shared" si="143"/>
        <v>9457758.2998083755</v>
      </c>
      <c r="ES132" s="30">
        <f t="shared" si="95"/>
        <v>618731.85138933361</v>
      </c>
      <c r="ET132" s="26">
        <f t="shared" si="144"/>
        <v>4331.1229597253305</v>
      </c>
      <c r="EU132" s="30">
        <f t="shared" si="96"/>
        <v>4331.1229597253305</v>
      </c>
      <c r="EV132" s="25">
        <f t="shared" si="145"/>
        <v>0</v>
      </c>
      <c r="EW132" s="31">
        <f t="shared" si="97"/>
        <v>63188.065649958684</v>
      </c>
      <c r="EX132" s="27">
        <f>IF(EM132=0,EX131,IF(EM132&lt;=$FB$88+$C$10,ABS(EN132)+EX131,EX131))</f>
        <v>430891.77838569693</v>
      </c>
      <c r="EY132" s="15"/>
      <c r="EZ132"/>
      <c r="FA132"/>
      <c r="FB132"/>
      <c r="FC132" s="74"/>
      <c r="FD132" s="74"/>
      <c r="FE132" s="74"/>
      <c r="FF132" s="74"/>
      <c r="FG132" s="74"/>
      <c r="FH132" s="74"/>
      <c r="FI132" s="74"/>
      <c r="FJ132" s="28">
        <f t="shared" si="98"/>
        <v>2073</v>
      </c>
      <c r="FK132" s="65">
        <f>IF($C$13+$C$10&gt;=FJ132,-AG132,IF(FJ132=$C$13+$C$10+1,$EK$93,0))</f>
        <v>0</v>
      </c>
      <c r="FL132" s="65">
        <f t="shared" si="99"/>
        <v>74118.803999999975</v>
      </c>
      <c r="FM132" s="65">
        <f t="shared" si="100"/>
        <v>833605.62386312324</v>
      </c>
      <c r="FN132" s="65">
        <f t="shared" si="167"/>
        <v>0</v>
      </c>
      <c r="FO132" s="65">
        <f t="shared" si="146"/>
        <v>891958.01753354189</v>
      </c>
      <c r="FP132" s="65">
        <f t="shared" si="101"/>
        <v>58352.393670418649</v>
      </c>
      <c r="FQ132" s="59">
        <f t="shared" si="147"/>
        <v>408.46675569293035</v>
      </c>
      <c r="FR132" s="60">
        <f t="shared" si="148"/>
        <v>17839.160350670838</v>
      </c>
      <c r="FS132" s="65">
        <f t="shared" si="102"/>
        <v>0</v>
      </c>
      <c r="FT132" s="65">
        <f t="shared" si="103"/>
        <v>0</v>
      </c>
      <c r="FU132" s="65">
        <f t="shared" si="149"/>
        <v>0</v>
      </c>
      <c r="FV132" s="65">
        <f t="shared" si="168"/>
        <v>3082.2912297426033</v>
      </c>
      <c r="FW132" s="61">
        <f t="shared" si="169"/>
        <v>14756.869120928235</v>
      </c>
      <c r="FX132" s="61">
        <f>IF(AND(FJ132&lt;=$GF$88+$C$10,FV131&lt;=0,FN132&gt;0),(FJ132-$C$10+1)*AG132+$GF$80,FX131)</f>
        <v>73074.599999999977</v>
      </c>
      <c r="FY132" s="62">
        <f t="shared" si="170"/>
        <v>14.589778084231693</v>
      </c>
      <c r="FZ132" s="63">
        <f t="shared" si="104"/>
        <v>891958.01753354189</v>
      </c>
      <c r="GA132" s="64">
        <f t="shared" si="105"/>
        <v>17012.359670675985</v>
      </c>
      <c r="GB132" s="64">
        <f t="shared" si="106"/>
        <v>334424.23755289748</v>
      </c>
      <c r="GC132" s="66">
        <f t="shared" si="150"/>
        <v>0</v>
      </c>
      <c r="GD132" s="64">
        <f t="shared" si="107"/>
        <v>1580.6039999999994</v>
      </c>
      <c r="GE132"/>
      <c r="GF132"/>
      <c r="GG132" s="74"/>
      <c r="GH132" s="74"/>
      <c r="GI132" s="28">
        <f t="shared" si="108"/>
        <v>2073</v>
      </c>
      <c r="GJ132" s="9">
        <f>IF($GX$88+$C$10&gt;=GI132,-AG132,IF(GI132=$GX$88+$C$10+1,$FB$93,0))</f>
        <v>0</v>
      </c>
      <c r="GK132" s="5">
        <f t="shared" si="109"/>
        <v>631050.09017506579</v>
      </c>
      <c r="GL132" s="5">
        <f t="shared" si="110"/>
        <v>7781995.8976948177</v>
      </c>
      <c r="GM132" s="35">
        <f t="shared" si="171"/>
        <v>13424.765127337401</v>
      </c>
      <c r="GN132" s="4">
        <f t="shared" si="151"/>
        <v>8341100.1092197066</v>
      </c>
      <c r="GO132" s="5">
        <f t="shared" si="111"/>
        <v>545679.44639755134</v>
      </c>
      <c r="GP132" s="5">
        <f t="shared" si="152"/>
        <v>3819.7561247828557</v>
      </c>
      <c r="GQ132" s="5">
        <f t="shared" si="112"/>
        <v>3819.7561247828557</v>
      </c>
      <c r="GR132" s="4">
        <f t="shared" si="153"/>
        <v>705.2224745380347</v>
      </c>
      <c r="GS132" s="7">
        <f t="shared" si="113"/>
        <v>53970.350133312444</v>
      </c>
      <c r="GT132" s="107" t="e">
        <f>IF($DG$62=0,EX132,IF(GI132-$C$10+1&lt;=$GF$98,0,#REF!-FX132))</f>
        <v>#REF!</v>
      </c>
      <c r="GU132"/>
      <c r="GV132"/>
      <c r="GW132"/>
      <c r="GX132"/>
      <c r="GY132" s="74"/>
      <c r="GZ132" s="74"/>
      <c r="HA132" s="74"/>
      <c r="HB132" s="74"/>
      <c r="HC132" s="74"/>
      <c r="HD132" s="74"/>
    </row>
    <row r="133" spans="2:212" ht="16.149999999999999" thickBot="1" x14ac:dyDescent="0.55000000000000004">
      <c r="B133" s="333"/>
      <c r="C133" s="75"/>
      <c r="D133" s="75"/>
      <c r="F133" s="75"/>
      <c r="G133" s="75"/>
      <c r="H133" s="75"/>
      <c r="I133" s="75"/>
      <c r="J133" s="75"/>
      <c r="K133" s="75"/>
      <c r="L133" s="75"/>
      <c r="M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AB133" s="117" t="str">
        <f t="shared" si="34"/>
        <v/>
      </c>
      <c r="AC133" s="117" t="str">
        <f t="shared" si="35"/>
        <v/>
      </c>
      <c r="AD133" s="299">
        <f>IF($C$20="NEIN",$C$21,IF($C$22="JA",'HISTORISCHE RENDITEN'!E57,'HISTORISCHE RENDITEN'!D57))</f>
        <v>7.2099999999999997E-2</v>
      </c>
      <c r="AE133" s="129">
        <f t="shared" si="172"/>
        <v>81</v>
      </c>
      <c r="AF133" s="120">
        <f t="shared" si="154"/>
        <v>2074</v>
      </c>
      <c r="AG133" s="122">
        <f t="shared" si="123"/>
        <v>0</v>
      </c>
      <c r="AH133" s="124">
        <f t="shared" si="155"/>
        <v>430891.77838569693</v>
      </c>
      <c r="AI133" s="296">
        <f t="shared" si="114"/>
        <v>886635.446372331</v>
      </c>
      <c r="AJ133" s="123">
        <f t="shared" si="67"/>
        <v>0</v>
      </c>
      <c r="AK133" s="124">
        <f t="shared" si="156"/>
        <v>950561.86205577606</v>
      </c>
      <c r="AL133" s="122">
        <f t="shared" si="124"/>
        <v>63926.415683445055</v>
      </c>
      <c r="AM133" s="122">
        <f>IF($C$25="Ausschütter",0,IF(AL133&gt;=0,(AI133+AJ133)*$C$48*0.7))</f>
        <v>434.45136872244217</v>
      </c>
      <c r="AN133" s="122">
        <f t="shared" si="125"/>
        <v>0</v>
      </c>
      <c r="AO133" s="122">
        <f t="shared" si="39"/>
        <v>434.45136872244217</v>
      </c>
      <c r="AP133" s="122">
        <f t="shared" si="69"/>
        <v>18480.220280294026</v>
      </c>
      <c r="AQ133" s="122">
        <f>IF($C$25="AUSSCHÜTTER",0,IF(AO133*$C$46*$C$49&lt;=$C$47,0,AO133*$C$46*$C$49))</f>
        <v>0</v>
      </c>
      <c r="AR133" s="122">
        <f>IF(AO132*$C$49&gt;$C$47,(AN133)*$C$49*$C$46,IF((AO132+AN133)*$C$49&gt;$C$47,((AO132+AN133)*$C$49-$C$47)*$C$46,0))</f>
        <v>0</v>
      </c>
      <c r="AS133" s="122">
        <f t="shared" si="70"/>
        <v>0</v>
      </c>
      <c r="AT133" s="122">
        <f t="shared" si="157"/>
        <v>430891.77838569693</v>
      </c>
      <c r="AU133" s="122">
        <f t="shared" si="115"/>
        <v>0</v>
      </c>
      <c r="AV133" s="122">
        <f t="shared" si="71"/>
        <v>950561.86205577606</v>
      </c>
      <c r="AW133" s="122">
        <f t="shared" si="158"/>
        <v>0</v>
      </c>
      <c r="AX133" s="130">
        <f t="shared" si="159"/>
        <v>0</v>
      </c>
      <c r="AY133" s="82">
        <f>IF(AF133&lt;$C$11,$C$15*(1+$C$19)^(AF133-$C$10),0)</f>
        <v>0</v>
      </c>
      <c r="AZ133" s="82">
        <f>$C$14*(1+$C$37)^(AF133-$C$10)</f>
        <v>66625.022832380957</v>
      </c>
      <c r="BA133" s="165">
        <f>IF(AF133&lt;$C$11,0,MAX($C$38*AI133,AZ133))</f>
        <v>66625.022832380957</v>
      </c>
      <c r="BB133" s="82">
        <f>IF(AF133&lt;$C$11,0,MAX($C$38*AI133,AZ133))</f>
        <v>66625.022832380957</v>
      </c>
      <c r="BC133" s="136">
        <f>IF($C$39="JA",CT133,DG133)</f>
        <v>17572.349772040478</v>
      </c>
      <c r="BD133" s="82">
        <f t="shared" si="126"/>
        <v>0</v>
      </c>
      <c r="BE133" s="82">
        <f>IF(AF133&lt;($C$8+$C$30),0,$C$29*12*(1-$C$31))</f>
        <v>0</v>
      </c>
      <c r="BF133" s="82">
        <f>IF(AF133&lt;($C$8+$C$34),0,$C$33*12*(1-$C$35))</f>
        <v>0</v>
      </c>
      <c r="BG133" s="82">
        <f>IF(AF133&lt;$C$11,0,IF(AI133&lt;0,$C$42*(1+$C$44)^(AF133-$C$10),IF(((AL133+BE133+BF133)*$C$41)&lt;$C$42*(1+$C$44)^(AF133-$C$10),$C$42*(1+$C$44)^(AF133-$C$10),IF(((AL133+BE133+BF133)*$C$41)&lt;$C$43*(1+$C$44)^(AF133-$C$10),(AL133+BE133+BF133)*$C$41,IF(((AL133+BE133+BF133+BB133)*$C$41)&lt;$C$43*(1+$C$44)^(AF133-$C$10),((AL133+BE133+BF133+BB133)*$C$41),$C$43*(1+$C$44)^(AF133-$C$10))))))</f>
        <v>12146.01897985456</v>
      </c>
      <c r="BH133" s="82">
        <f t="shared" si="72"/>
        <v>96343.391584275989</v>
      </c>
      <c r="BI133" s="242">
        <f t="shared" si="73"/>
        <v>950561.86205577606</v>
      </c>
      <c r="BJ133" s="217">
        <f t="shared" si="74"/>
        <v>854218.47047150007</v>
      </c>
      <c r="BK133" s="118"/>
      <c r="BL133" s="219">
        <f t="shared" si="127"/>
        <v>37</v>
      </c>
      <c r="BM133" s="220">
        <f t="shared" si="128"/>
        <v>54</v>
      </c>
      <c r="BN133" s="220">
        <f t="shared" si="121"/>
        <v>0</v>
      </c>
      <c r="BO133" s="221">
        <f t="shared" si="129"/>
        <v>0</v>
      </c>
      <c r="BP133" s="221">
        <f t="shared" si="130"/>
        <v>0</v>
      </c>
      <c r="BQ133" s="222">
        <f t="shared" si="9"/>
        <v>0</v>
      </c>
      <c r="BR133" s="223">
        <f>IF(BM133&lt;$C$11-$C$10+1,0,IF(BL133&lt;=$C$13,VLOOKUP(BL133,$BN$80:$BQ$156,2,FALSE)-BS133,0))</f>
        <v>0</v>
      </c>
      <c r="BS133" s="223">
        <f>IF(BM133&lt;$C$11-$C$10+1,0,IF(BL133&lt;=$C$13,VLOOKUP(BL133,$BN$80:$BQ$156,3,FALSE),0))</f>
        <v>0</v>
      </c>
      <c r="BT133" s="222">
        <f>IF(BM133&lt;$C$11-$C$10+1,0,IF(BL133&lt;=$C$13,VLOOKUP(BL133,$BN$80:$BQ$156,4,FALSE),0))</f>
        <v>0</v>
      </c>
      <c r="BU133" s="223">
        <f t="shared" si="160"/>
        <v>0</v>
      </c>
      <c r="BV133" s="223">
        <f t="shared" si="161"/>
        <v>0</v>
      </c>
      <c r="BW133" s="223">
        <f t="shared" si="118"/>
        <v>0</v>
      </c>
      <c r="BX133" s="223">
        <f>IF(AND(BS133&lt;=0,BN133=0),MIN((MAX($BZ$80:$BZ$156)-SUM($BX$80:BX132)),CA133),IF(BS133&lt;CA133,BS133,CA133))</f>
        <v>0</v>
      </c>
      <c r="BY133" s="222">
        <f>IF(BN133&gt;0,0,IF(AND(BN133=0,BT133&lt;=0),100%,((BW132*(AVERAGE($BT$80:BT132))+(BR133*BT133))/(BR133+BW132+BS133+BV132))))</f>
        <v>1</v>
      </c>
      <c r="BZ133" s="139">
        <f t="shared" si="162"/>
        <v>430891.77838569693</v>
      </c>
      <c r="CA133" s="122">
        <f t="shared" si="131"/>
        <v>66625.022832380957</v>
      </c>
      <c r="CB133" s="181">
        <f t="shared" si="47"/>
        <v>1</v>
      </c>
      <c r="CC133" s="122">
        <f t="shared" si="48"/>
        <v>1823868.4855502495</v>
      </c>
      <c r="CD133" s="182">
        <f t="shared" si="119"/>
        <v>0</v>
      </c>
      <c r="CE133" s="122">
        <f t="shared" si="75"/>
        <v>430891.77838569693</v>
      </c>
      <c r="CF133" s="122">
        <f t="shared" si="76"/>
        <v>0</v>
      </c>
      <c r="CG133" s="122" t="str">
        <f t="shared" si="132"/>
        <v/>
      </c>
      <c r="CH133" s="140">
        <f t="shared" si="133"/>
        <v>1</v>
      </c>
      <c r="CI133" s="142">
        <f t="shared" si="77"/>
        <v>9984</v>
      </c>
      <c r="CJ133" s="134">
        <f>CI133*$C$57</f>
        <v>0</v>
      </c>
      <c r="CK133" s="142">
        <f t="shared" si="78"/>
        <v>14926</v>
      </c>
      <c r="CL133" s="134">
        <f>CK133*$C$57</f>
        <v>0</v>
      </c>
      <c r="CM133" s="142">
        <f t="shared" si="79"/>
        <v>58596</v>
      </c>
      <c r="CN133" s="134">
        <f>CM133*$C$57</f>
        <v>0</v>
      </c>
      <c r="CO133" s="132">
        <f t="shared" si="117"/>
        <v>66625.022832380957</v>
      </c>
      <c r="CP133" s="140">
        <f t="shared" si="134"/>
        <v>0.42</v>
      </c>
      <c r="CQ133" s="121" t="str">
        <f>IF($C$50="NEIN","NEIN",IF(CS133&lt;CR133,"JA","NEIN"))</f>
        <v>NEIN</v>
      </c>
      <c r="CR133" s="121">
        <f>CO133*$C$46</f>
        <v>17572.349772040478</v>
      </c>
      <c r="CS133" s="121">
        <f t="shared" si="135"/>
        <v>18714.9795896</v>
      </c>
      <c r="CT133" s="201">
        <f>IF($C$50="NEIN",CR133,IF(CQ133="NEIN",CR133,CS133))</f>
        <v>17572.349772040478</v>
      </c>
      <c r="CU133" s="149"/>
      <c r="CV133" s="202">
        <f t="shared" si="80"/>
        <v>9984</v>
      </c>
      <c r="CW133" s="134">
        <f>CV133*$C$57</f>
        <v>0</v>
      </c>
      <c r="CX133" s="142">
        <f t="shared" si="81"/>
        <v>14926</v>
      </c>
      <c r="CY133" s="134">
        <f>CX133*$C$57</f>
        <v>0</v>
      </c>
      <c r="CZ133" s="142">
        <f t="shared" si="82"/>
        <v>58596</v>
      </c>
      <c r="DA133" s="143">
        <f>CZ133*$C$57</f>
        <v>0</v>
      </c>
      <c r="DB133" s="165">
        <f t="shared" si="120"/>
        <v>66625.022832380957</v>
      </c>
      <c r="DC133" s="140">
        <f t="shared" si="136"/>
        <v>0.42</v>
      </c>
      <c r="DD133" s="121" t="str">
        <f>IF($C$50="NEIN","NEIN",IF(DF133&lt;DE133,"JA","NEIN"))</f>
        <v>NEIN</v>
      </c>
      <c r="DE133" s="121">
        <f>DB133*$C$46</f>
        <v>17572.349772040478</v>
      </c>
      <c r="DF133" s="121">
        <f t="shared" si="137"/>
        <v>18714.9795896</v>
      </c>
      <c r="DG133" s="201">
        <f>IF($C$50="NEIN",DE133,IF(DD133="NEIN",DE133,DF133))</f>
        <v>17572.349772040478</v>
      </c>
      <c r="DH133" s="159"/>
      <c r="DI133" s="74"/>
      <c r="DJ133" s="74"/>
      <c r="DK133" s="128"/>
      <c r="DL133" s="128"/>
      <c r="DM133" s="128"/>
      <c r="DN133" s="74"/>
      <c r="DO133" s="28">
        <f t="shared" si="83"/>
        <v>2074</v>
      </c>
      <c r="DP133" s="17">
        <f>IF($C$13+$C$10&gt;=DO133,-AG133,IF(DO133=$C$13+$C$10+1,$EK$93,0))</f>
        <v>0</v>
      </c>
      <c r="DQ133" s="17">
        <f t="shared" si="84"/>
        <v>2452951.8087735604</v>
      </c>
      <c r="DR133" s="17">
        <f t="shared" si="85"/>
        <v>7922047.5042214086</v>
      </c>
      <c r="DS133" s="17">
        <f t="shared" si="163"/>
        <v>132036.55933682719</v>
      </c>
      <c r="DT133" s="17">
        <f t="shared" si="138"/>
        <v>8617869.9480073135</v>
      </c>
      <c r="DU133" s="17">
        <f t="shared" si="86"/>
        <v>563785.88444907777</v>
      </c>
      <c r="DV133" s="33">
        <f t="shared" si="139"/>
        <v>3946.5011911435349</v>
      </c>
      <c r="DW133" s="32">
        <f t="shared" si="140"/>
        <v>172357.39896014627</v>
      </c>
      <c r="DX133" s="17">
        <f t="shared" si="87"/>
        <v>0</v>
      </c>
      <c r="DY133" s="17">
        <f t="shared" si="88"/>
        <v>0</v>
      </c>
      <c r="DZ133" s="17">
        <f t="shared" si="141"/>
        <v>0</v>
      </c>
      <c r="EA133" s="17">
        <f t="shared" si="164"/>
        <v>31610.221033017002</v>
      </c>
      <c r="EB133" s="15">
        <f t="shared" si="165"/>
        <v>140747.17792712926</v>
      </c>
      <c r="EC133" s="15">
        <f>IF(DP133=0,EC132,IF(DO133&lt;=$EK$88+$C$10,ABS(DP133)+EC132,EC132))</f>
        <v>430891.77838569693</v>
      </c>
      <c r="ED133" s="15">
        <f t="shared" si="89"/>
        <v>475892.37690836174</v>
      </c>
      <c r="EE133" s="16">
        <f t="shared" si="90"/>
        <v>8617869.9480073135</v>
      </c>
      <c r="EF133" s="15">
        <f t="shared" si="142"/>
        <v>132036.55933682719</v>
      </c>
      <c r="EG133" s="15">
        <f t="shared" si="91"/>
        <v>2022060.0303878635</v>
      </c>
      <c r="EH133" s="16"/>
      <c r="EI133" s="16"/>
      <c r="EJ133"/>
      <c r="EK133"/>
      <c r="EL133"/>
      <c r="EM133" s="28">
        <f t="shared" si="92"/>
        <v>2074</v>
      </c>
      <c r="EN133" s="29">
        <f>IF($C$13+$C$10&gt;=EM133,-(AG133),IF(EM133=$C$13+$C$10+1,$FB$93,0))</f>
        <v>0</v>
      </c>
      <c r="EO133" s="30">
        <f t="shared" si="93"/>
        <v>430891.77838569693</v>
      </c>
      <c r="EP133" s="30">
        <f t="shared" si="94"/>
        <v>9457758.2998083755</v>
      </c>
      <c r="EQ133" s="30">
        <f t="shared" si="166"/>
        <v>0</v>
      </c>
      <c r="ER133" s="25">
        <f t="shared" si="143"/>
        <v>10119801.380794963</v>
      </c>
      <c r="ES133" s="30">
        <f t="shared" si="95"/>
        <v>662043.08098658733</v>
      </c>
      <c r="ET133" s="26">
        <f t="shared" si="144"/>
        <v>4634.3015669061042</v>
      </c>
      <c r="EU133" s="30">
        <f t="shared" si="96"/>
        <v>4634.3015669061042</v>
      </c>
      <c r="EV133" s="25">
        <f t="shared" si="145"/>
        <v>855.60792679003941</v>
      </c>
      <c r="EW133" s="31">
        <f t="shared" si="97"/>
        <v>67822.36721686479</v>
      </c>
      <c r="EX133" s="27">
        <f>IF(EM133=0,EX132,IF(EM133&lt;=$FB$88+$C$10,ABS(EN133)+EX132,EX132))</f>
        <v>430891.77838569693</v>
      </c>
      <c r="EY133" s="15"/>
      <c r="EZ133"/>
      <c r="FA133"/>
      <c r="FB133"/>
      <c r="FC133" s="74"/>
      <c r="FD133" s="74"/>
      <c r="FE133" s="74"/>
      <c r="FF133" s="74"/>
      <c r="FG133" s="74"/>
      <c r="FH133" s="74"/>
      <c r="FI133" s="74"/>
      <c r="FJ133" s="28">
        <f t="shared" si="98"/>
        <v>2074</v>
      </c>
      <c r="FK133" s="65">
        <f>IF($C$13+$C$10&gt;=FJ133,-AG133,IF(FJ133=$C$13+$C$10+1,$EK$93,0))</f>
        <v>0</v>
      </c>
      <c r="FL133" s="65">
        <f t="shared" si="99"/>
        <v>74118.803999999975</v>
      </c>
      <c r="FM133" s="65">
        <f t="shared" si="100"/>
        <v>874118.85718287108</v>
      </c>
      <c r="FN133" s="65">
        <f t="shared" si="167"/>
        <v>0</v>
      </c>
      <c r="FO133" s="65">
        <f t="shared" si="146"/>
        <v>935307.1771856721</v>
      </c>
      <c r="FP133" s="65">
        <f t="shared" si="101"/>
        <v>61188.320002801018</v>
      </c>
      <c r="FQ133" s="59">
        <f t="shared" si="147"/>
        <v>428.31824001960678</v>
      </c>
      <c r="FR133" s="60">
        <f t="shared" si="148"/>
        <v>18706.143543713442</v>
      </c>
      <c r="FS133" s="65">
        <f t="shared" si="102"/>
        <v>0</v>
      </c>
      <c r="FT133" s="65">
        <f t="shared" si="103"/>
        <v>0</v>
      </c>
      <c r="FU133" s="65">
        <f t="shared" si="149"/>
        <v>0</v>
      </c>
      <c r="FV133" s="65">
        <f t="shared" si="168"/>
        <v>3242.3580017580939</v>
      </c>
      <c r="FW133" s="61">
        <f t="shared" si="169"/>
        <v>15463.785541955349</v>
      </c>
      <c r="FX133" s="61">
        <f>IF(AND(FJ133&lt;=$GF$88+$C$10,FV132&lt;=0,FN133&gt;0),(FJ133-$C$10+1)*AG133+$GF$80,FX132)</f>
        <v>73074.599999999977</v>
      </c>
      <c r="FY133" s="62">
        <f t="shared" si="170"/>
        <v>15.347441299125355</v>
      </c>
      <c r="FZ133" s="63">
        <f t="shared" si="104"/>
        <v>935307.1771856721</v>
      </c>
      <c r="GA133" s="64">
        <f t="shared" si="105"/>
        <v>17839.160350670838</v>
      </c>
      <c r="GB133" s="64">
        <f t="shared" si="106"/>
        <v>352263.39790356834</v>
      </c>
      <c r="GC133" s="66">
        <f t="shared" si="150"/>
        <v>0</v>
      </c>
      <c r="GD133" s="64">
        <f t="shared" si="107"/>
        <v>1580.6039999999994</v>
      </c>
      <c r="GE133"/>
      <c r="GF133"/>
      <c r="GG133" s="74"/>
      <c r="GH133" s="74"/>
      <c r="GI133" s="28">
        <f t="shared" si="108"/>
        <v>2074</v>
      </c>
      <c r="GJ133" s="9">
        <f>IF($GX$88+$C$10&gt;=GI133,-AG133,IF(GI133=$GX$88+$C$10+1,$FB$93,0))</f>
        <v>0</v>
      </c>
      <c r="GK133" s="5">
        <f t="shared" si="109"/>
        <v>645101.736821456</v>
      </c>
      <c r="GL133" s="5">
        <f t="shared" si="110"/>
        <v>8341100.1092197066</v>
      </c>
      <c r="GM133" s="35">
        <f t="shared" si="171"/>
        <v>14051.6466463902</v>
      </c>
      <c r="GN133" s="4">
        <f t="shared" si="151"/>
        <v>8940012.3787767235</v>
      </c>
      <c r="GO133" s="5">
        <f t="shared" si="111"/>
        <v>584860.62291062716</v>
      </c>
      <c r="GP133" s="5">
        <f t="shared" si="152"/>
        <v>4094.0243603743866</v>
      </c>
      <c r="GQ133" s="5">
        <f t="shared" si="112"/>
        <v>4094.0243603743866</v>
      </c>
      <c r="GR133" s="4">
        <f t="shared" si="153"/>
        <v>755.85924753412098</v>
      </c>
      <c r="GS133" s="7">
        <f t="shared" si="113"/>
        <v>58064.374493686832</v>
      </c>
      <c r="GT133" s="107" t="e">
        <f>IF($DG$62=0,EX133,IF(GI133-$C$10+1&lt;=$GF$98,0,#REF!-FX133))</f>
        <v>#REF!</v>
      </c>
      <c r="GU133"/>
      <c r="GV133"/>
      <c r="GW133"/>
      <c r="GX133"/>
      <c r="GY133" s="74"/>
      <c r="GZ133" s="74"/>
      <c r="HA133" s="74"/>
      <c r="HB133" s="74"/>
      <c r="HC133" s="74"/>
      <c r="HD133" s="74"/>
    </row>
    <row r="134" spans="2:212" ht="16.149999999999999" thickBot="1" x14ac:dyDescent="0.55000000000000004">
      <c r="B134" s="333"/>
      <c r="C134" s="75"/>
      <c r="D134" s="75"/>
      <c r="F134" s="75"/>
      <c r="G134" s="75"/>
      <c r="H134" s="75"/>
      <c r="I134" s="75"/>
      <c r="J134" s="75"/>
      <c r="K134" s="75"/>
      <c r="L134" s="75"/>
      <c r="M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AB134" s="117" t="str">
        <f t="shared" si="34"/>
        <v/>
      </c>
      <c r="AC134" s="117" t="str">
        <f t="shared" si="35"/>
        <v/>
      </c>
      <c r="AD134" s="299">
        <f>IF($C$20="NEIN",$C$21,IF($C$22="JA",'HISTORISCHE RENDITEN'!E58,'HISTORISCHE RENDITEN'!D58))</f>
        <v>0.21460000000000001</v>
      </c>
      <c r="AE134" s="129">
        <f t="shared" si="172"/>
        <v>82</v>
      </c>
      <c r="AF134" s="120">
        <f t="shared" si="154"/>
        <v>2075</v>
      </c>
      <c r="AG134" s="122">
        <f t="shared" si="123"/>
        <v>0</v>
      </c>
      <c r="AH134" s="124">
        <f t="shared" si="155"/>
        <v>430891.77838569693</v>
      </c>
      <c r="AI134" s="296">
        <f t="shared" si="114"/>
        <v>854218.47047150007</v>
      </c>
      <c r="AJ134" s="123">
        <f t="shared" si="67"/>
        <v>0</v>
      </c>
      <c r="AK134" s="124">
        <f t="shared" si="156"/>
        <v>1037533.7542346839</v>
      </c>
      <c r="AL134" s="122">
        <f t="shared" si="124"/>
        <v>183315.28376318386</v>
      </c>
      <c r="AM134" s="122">
        <f>IF($C$25="Ausschütter",0,IF(AL134&gt;=0,(AI134+AJ134)*$C$48*0.7))</f>
        <v>418.56705053103502</v>
      </c>
      <c r="AN134" s="122">
        <f t="shared" si="125"/>
        <v>0</v>
      </c>
      <c r="AO134" s="122">
        <f t="shared" si="39"/>
        <v>418.56705053103502</v>
      </c>
      <c r="AP134" s="122">
        <f t="shared" si="69"/>
        <v>18898.78733082506</v>
      </c>
      <c r="AQ134" s="122">
        <f>IF($C$25="AUSSCHÜTTER",0,IF(AO134*$C$46*$C$49&lt;=$C$47,0,AO134*$C$46*$C$49))</f>
        <v>0</v>
      </c>
      <c r="AR134" s="122">
        <f>IF(AO133*$C$49&gt;$C$47,(AN134)*$C$49*$C$46,IF((AO133+AN134)*$C$49&gt;$C$47,((AO133+AN134)*$C$49-$C$47)*$C$46,0))</f>
        <v>0</v>
      </c>
      <c r="AS134" s="122">
        <f t="shared" si="70"/>
        <v>0</v>
      </c>
      <c r="AT134" s="122">
        <f t="shared" si="157"/>
        <v>430891.77838569693</v>
      </c>
      <c r="AU134" s="122">
        <f t="shared" si="115"/>
        <v>0</v>
      </c>
      <c r="AV134" s="122">
        <f t="shared" si="71"/>
        <v>1037533.7542346839</v>
      </c>
      <c r="AW134" s="122">
        <f t="shared" si="158"/>
        <v>0</v>
      </c>
      <c r="AX134" s="130">
        <f t="shared" si="159"/>
        <v>0</v>
      </c>
      <c r="AY134" s="82">
        <f>IF(AF134&lt;$C$11,$C$15*(1+$C$19)^(AF134-$C$10),0)</f>
        <v>0</v>
      </c>
      <c r="AZ134" s="82">
        <f>$C$14*(1+$C$37)^(AF134-$C$10)</f>
        <v>68290.648403190469</v>
      </c>
      <c r="BA134" s="165">
        <f>IF(AF134&lt;$C$11,0,MAX($C$38*AI134,AZ134))</f>
        <v>68290.648403190469</v>
      </c>
      <c r="BB134" s="82">
        <f>IF(AF134&lt;$C$11,0,MAX($C$38*AI134,AZ134))</f>
        <v>68290.648403190469</v>
      </c>
      <c r="BC134" s="136">
        <f>IF($C$39="JA",CT134,DG134)</f>
        <v>18011.658516341486</v>
      </c>
      <c r="BD134" s="82">
        <f t="shared" si="126"/>
        <v>0</v>
      </c>
      <c r="BE134" s="82">
        <f>IF(AF134&lt;($C$8+$C$30),0,$C$29*12*(1-$C$31))</f>
        <v>0</v>
      </c>
      <c r="BF134" s="82">
        <f>IF(AF134&lt;($C$8+$C$34),0,$C$33*12*(1-$C$35))</f>
        <v>0</v>
      </c>
      <c r="BG134" s="82">
        <f>IF(AF134&lt;$C$11,0,IF(AI134&lt;0,$C$42*(1+$C$44)^(AF134-$C$10),IF(((AL134+BE134+BF134)*$C$41)&lt;$C$42*(1+$C$44)^(AF134-$C$10),$C$42*(1+$C$44)^(AF134-$C$10),IF(((AL134+BE134+BF134)*$C$41)&lt;$C$43*(1+$C$44)^(AF134-$C$10),(AL134+BE134+BF134)*$C$41,IF(((AL134+BE134+BF134+BB134)*$C$41)&lt;$C$43*(1+$C$44)^(AF134-$C$10),((AL134+BE134+BF134+BB134)*$C$41),$C$43*(1+$C$44)^(AF134-$C$10))))))</f>
        <v>24131.817760992861</v>
      </c>
      <c r="BH134" s="82">
        <f t="shared" si="72"/>
        <v>110434.12468052481</v>
      </c>
      <c r="BI134" s="242">
        <f t="shared" si="73"/>
        <v>1037533.7542346839</v>
      </c>
      <c r="BJ134" s="217">
        <f t="shared" si="74"/>
        <v>927099.62955415912</v>
      </c>
      <c r="BK134" s="118"/>
      <c r="BL134" s="219">
        <f t="shared" si="127"/>
        <v>38</v>
      </c>
      <c r="BM134" s="220">
        <f t="shared" si="128"/>
        <v>55</v>
      </c>
      <c r="BN134" s="220">
        <f t="shared" ref="BN134:BN155" si="173">IF(AF134&lt;$C$11,($C$10+77)-AF134,0)</f>
        <v>0</v>
      </c>
      <c r="BO134" s="221">
        <f t="shared" si="129"/>
        <v>0</v>
      </c>
      <c r="BP134" s="221">
        <f t="shared" si="130"/>
        <v>0</v>
      </c>
      <c r="BQ134" s="222">
        <f t="shared" si="9"/>
        <v>0</v>
      </c>
      <c r="BR134" s="223">
        <f>IF(BM134&lt;$C$11-$C$10+1,0,IF(BL134&lt;=$C$13,VLOOKUP(BL134,$BN$80:$BQ$156,2,FALSE)-BS134,0))</f>
        <v>0</v>
      </c>
      <c r="BS134" s="223">
        <f>IF(BM134&lt;$C$11-$C$10+1,0,IF(BL134&lt;=$C$13,VLOOKUP(BL134,$BN$80:$BQ$156,3,FALSE),0))</f>
        <v>0</v>
      </c>
      <c r="BT134" s="222">
        <f>IF(BM134&lt;$C$11-$C$10+1,0,IF(BL134&lt;=$C$13,VLOOKUP(BL134,$BN$80:$BQ$156,4,FALSE),0))</f>
        <v>0</v>
      </c>
      <c r="BU134" s="223">
        <f t="shared" si="160"/>
        <v>0</v>
      </c>
      <c r="BV134" s="223">
        <f t="shared" si="161"/>
        <v>0</v>
      </c>
      <c r="BW134" s="223">
        <f t="shared" si="118"/>
        <v>0</v>
      </c>
      <c r="BX134" s="223">
        <f>IF(AND(BS134&lt;=0,BN134=0),MIN((MAX($BZ$80:$BZ$156)-SUM($BX$80:BX133)),CA134),IF(BS134&lt;CA134,BS134,CA134))</f>
        <v>0</v>
      </c>
      <c r="BY134" s="222">
        <f>IF(BN134&gt;0,0,IF(AND(BN134=0,BT134&lt;=0),100%,((BW133*(AVERAGE($BT$80:BT133))+(BR134*BT134))/(BR134+BW133+BS134+BV133))))</f>
        <v>1</v>
      </c>
      <c r="BZ134" s="139">
        <f t="shared" si="162"/>
        <v>430891.77838569693</v>
      </c>
      <c r="CA134" s="122">
        <f t="shared" si="131"/>
        <v>68290.648403190469</v>
      </c>
      <c r="CB134" s="181">
        <f t="shared" si="47"/>
        <v>1</v>
      </c>
      <c r="CC134" s="122">
        <f t="shared" si="48"/>
        <v>1892159.13395344</v>
      </c>
      <c r="CD134" s="182">
        <f t="shared" si="119"/>
        <v>0</v>
      </c>
      <c r="CE134" s="122">
        <f t="shared" si="75"/>
        <v>430891.77838569693</v>
      </c>
      <c r="CF134" s="122">
        <f t="shared" si="76"/>
        <v>0</v>
      </c>
      <c r="CG134" s="122" t="str">
        <f t="shared" si="132"/>
        <v/>
      </c>
      <c r="CH134" s="140">
        <f t="shared" si="133"/>
        <v>1</v>
      </c>
      <c r="CI134" s="142">
        <f t="shared" si="77"/>
        <v>9984</v>
      </c>
      <c r="CJ134" s="134">
        <f>CI134*$C$57</f>
        <v>0</v>
      </c>
      <c r="CK134" s="142">
        <f t="shared" si="78"/>
        <v>14926</v>
      </c>
      <c r="CL134" s="134">
        <f>CK134*$C$57</f>
        <v>0</v>
      </c>
      <c r="CM134" s="142">
        <f t="shared" si="79"/>
        <v>58596</v>
      </c>
      <c r="CN134" s="134">
        <f>CM134*$C$57</f>
        <v>0</v>
      </c>
      <c r="CO134" s="132">
        <f t="shared" si="117"/>
        <v>68290.648403190469</v>
      </c>
      <c r="CP134" s="140">
        <f t="shared" si="134"/>
        <v>0.42</v>
      </c>
      <c r="CQ134" s="121" t="str">
        <f>IF($C$50="NEIN","NEIN",IF(CS134&lt;CR134,"JA","NEIN"))</f>
        <v>NEIN</v>
      </c>
      <c r="CR134" s="121">
        <f>CO134*$C$46</f>
        <v>18011.658516341486</v>
      </c>
      <c r="CS134" s="121">
        <f t="shared" si="135"/>
        <v>19414.542329339994</v>
      </c>
      <c r="CT134" s="201">
        <f>IF($C$50="NEIN",CR134,IF(CQ134="NEIN",CR134,CS134))</f>
        <v>18011.658516341486</v>
      </c>
      <c r="CU134" s="149"/>
      <c r="CV134" s="202">
        <f t="shared" si="80"/>
        <v>9984</v>
      </c>
      <c r="CW134" s="134">
        <f>CV134*$C$57</f>
        <v>0</v>
      </c>
      <c r="CX134" s="142">
        <f t="shared" si="81"/>
        <v>14926</v>
      </c>
      <c r="CY134" s="134">
        <f>CX134*$C$57</f>
        <v>0</v>
      </c>
      <c r="CZ134" s="142">
        <f t="shared" si="82"/>
        <v>58596</v>
      </c>
      <c r="DA134" s="143">
        <f>CZ134*$C$57</f>
        <v>0</v>
      </c>
      <c r="DB134" s="165">
        <f t="shared" si="120"/>
        <v>68290.648403190469</v>
      </c>
      <c r="DC134" s="140">
        <f t="shared" si="136"/>
        <v>0.42</v>
      </c>
      <c r="DD134" s="121" t="str">
        <f>IF($C$50="NEIN","NEIN",IF(DF134&lt;DE134,"JA","NEIN"))</f>
        <v>NEIN</v>
      </c>
      <c r="DE134" s="121">
        <f>DB134*$C$46</f>
        <v>18011.658516341486</v>
      </c>
      <c r="DF134" s="121">
        <f t="shared" si="137"/>
        <v>19414.542329339994</v>
      </c>
      <c r="DG134" s="201">
        <f>IF($C$50="NEIN",DE134,IF(DD134="NEIN",DE134,DF134))</f>
        <v>18011.658516341486</v>
      </c>
      <c r="DH134" s="159"/>
      <c r="DI134" s="74"/>
      <c r="DJ134" s="74"/>
      <c r="DK134" s="128"/>
      <c r="DL134" s="128"/>
      <c r="DM134" s="128"/>
      <c r="DN134" s="74"/>
      <c r="DO134" s="28">
        <f t="shared" si="83"/>
        <v>2075</v>
      </c>
      <c r="DP134" s="17">
        <f>IF($C$13+$C$10&gt;=DO134,-AG134,IF(DO134=$C$13+$C$10+1,$EK$93,0))</f>
        <v>0</v>
      </c>
      <c r="DQ134" s="17">
        <f t="shared" si="84"/>
        <v>2593698.9867006899</v>
      </c>
      <c r="DR134" s="17">
        <f t="shared" si="85"/>
        <v>8445512.5490471665</v>
      </c>
      <c r="DS134" s="17">
        <f t="shared" si="163"/>
        <v>140747.17792712926</v>
      </c>
      <c r="DT134" s="17">
        <f t="shared" si="138"/>
        <v>9187297.9078624975</v>
      </c>
      <c r="DU134" s="17">
        <f t="shared" si="86"/>
        <v>601038.18088820204</v>
      </c>
      <c r="DV134" s="33">
        <f t="shared" si="139"/>
        <v>4207.2672662174045</v>
      </c>
      <c r="DW134" s="32">
        <f t="shared" si="140"/>
        <v>183745.95815724996</v>
      </c>
      <c r="DX134" s="17">
        <f t="shared" si="87"/>
        <v>0</v>
      </c>
      <c r="DY134" s="17">
        <f t="shared" si="88"/>
        <v>0</v>
      </c>
      <c r="DZ134" s="17">
        <f t="shared" si="141"/>
        <v>0</v>
      </c>
      <c r="EA134" s="17">
        <f t="shared" si="164"/>
        <v>33712.833774782266</v>
      </c>
      <c r="EB134" s="15">
        <f t="shared" si="165"/>
        <v>150033.12438246771</v>
      </c>
      <c r="EC134" s="15">
        <f>IF(DP134=0,EC133,IF(DO134&lt;=$EK$88+$C$10,ABS(DP134)+EC133,EC133))</f>
        <v>430891.77838569693</v>
      </c>
      <c r="ED134" s="15">
        <f t="shared" si="89"/>
        <v>509605.21068314399</v>
      </c>
      <c r="EE134" s="16">
        <f t="shared" si="90"/>
        <v>9187297.9078624975</v>
      </c>
      <c r="EF134" s="15">
        <f t="shared" si="142"/>
        <v>140747.17792712926</v>
      </c>
      <c r="EG134" s="15">
        <f t="shared" si="91"/>
        <v>2162807.208314993</v>
      </c>
      <c r="EH134" s="16"/>
      <c r="EI134" s="16"/>
      <c r="EJ134"/>
      <c r="EK134"/>
      <c r="EL134"/>
      <c r="EM134" s="28">
        <f t="shared" si="92"/>
        <v>2075</v>
      </c>
      <c r="EN134" s="29">
        <f>IF($C$13+$C$10&gt;=EM134,-(AG134),IF(EM134=$C$13+$C$10+1,$FB$93,0))</f>
        <v>0</v>
      </c>
      <c r="EO134" s="30">
        <f t="shared" si="93"/>
        <v>430036.17045890691</v>
      </c>
      <c r="EP134" s="30">
        <f t="shared" si="94"/>
        <v>10119801.380794963</v>
      </c>
      <c r="EQ134" s="30">
        <f t="shared" si="166"/>
        <v>-855.60792679003941</v>
      </c>
      <c r="ER134" s="25">
        <f t="shared" si="143"/>
        <v>10827271.976968946</v>
      </c>
      <c r="ES134" s="30">
        <f t="shared" si="95"/>
        <v>708326.20410077274</v>
      </c>
      <c r="ET134" s="26">
        <f t="shared" si="144"/>
        <v>4958.2834287054047</v>
      </c>
      <c r="EU134" s="30">
        <f t="shared" si="96"/>
        <v>4958.2834287054047</v>
      </c>
      <c r="EV134" s="25">
        <f t="shared" si="145"/>
        <v>915.42307802473522</v>
      </c>
      <c r="EW134" s="31">
        <f t="shared" si="97"/>
        <v>72780.650645570189</v>
      </c>
      <c r="EX134" s="27">
        <f>IF(EM134=0,EX133,IF(EM134&lt;=$FB$88+$C$10,ABS(EN134)+EX133,EX133))</f>
        <v>430891.77838569693</v>
      </c>
      <c r="EY134" s="15"/>
      <c r="EZ134"/>
      <c r="FA134"/>
      <c r="FB134"/>
      <c r="FC134" s="74"/>
      <c r="FD134" s="74"/>
      <c r="FE134" s="74"/>
      <c r="FF134" s="74"/>
      <c r="FG134" s="74"/>
      <c r="FH134" s="74"/>
      <c r="FI134" s="74"/>
      <c r="FJ134" s="28">
        <f t="shared" si="98"/>
        <v>2075</v>
      </c>
      <c r="FK134" s="65">
        <f>IF($C$13+$C$10&gt;=FJ134,-AG134,IF(FJ134=$C$13+$C$10+1,$EK$93,0))</f>
        <v>0</v>
      </c>
      <c r="FL134" s="65">
        <f t="shared" si="99"/>
        <v>74118.803999999975</v>
      </c>
      <c r="FM134" s="65">
        <f t="shared" si="100"/>
        <v>916601.03364195861</v>
      </c>
      <c r="FN134" s="65">
        <f t="shared" si="167"/>
        <v>0</v>
      </c>
      <c r="FO134" s="65">
        <f t="shared" si="146"/>
        <v>980763.10599689581</v>
      </c>
      <c r="FP134" s="65">
        <f t="shared" si="101"/>
        <v>64162.072354937205</v>
      </c>
      <c r="FQ134" s="59">
        <f t="shared" si="147"/>
        <v>449.13450648455972</v>
      </c>
      <c r="FR134" s="60">
        <f t="shared" si="148"/>
        <v>19615.262119937917</v>
      </c>
      <c r="FS134" s="65">
        <f t="shared" si="102"/>
        <v>0</v>
      </c>
      <c r="FT134" s="65">
        <f t="shared" si="103"/>
        <v>0</v>
      </c>
      <c r="FU134" s="65">
        <f t="shared" si="149"/>
        <v>0</v>
      </c>
      <c r="FV134" s="65">
        <f t="shared" si="168"/>
        <v>3410.2040188935375</v>
      </c>
      <c r="FW134" s="61">
        <f t="shared" si="169"/>
        <v>16205.05810104438</v>
      </c>
      <c r="FX134" s="61">
        <f>IF(AND(FJ134&lt;=$GF$88+$C$10,FV133&lt;=0,FN134&gt;0),(FJ134-$C$10+1)*AG134+$GF$80,FX133)</f>
        <v>73074.599999999977</v>
      </c>
      <c r="FY134" s="62">
        <f t="shared" si="170"/>
        <v>16.141926946262849</v>
      </c>
      <c r="FZ134" s="63">
        <f t="shared" si="104"/>
        <v>980763.10599689581</v>
      </c>
      <c r="GA134" s="64">
        <f t="shared" si="105"/>
        <v>18706.143543713442</v>
      </c>
      <c r="GB134" s="64">
        <f t="shared" si="106"/>
        <v>370969.54144728178</v>
      </c>
      <c r="GC134" s="66">
        <f t="shared" si="150"/>
        <v>0</v>
      </c>
      <c r="GD134" s="64">
        <f t="shared" si="107"/>
        <v>1580.6039999999994</v>
      </c>
      <c r="GE134"/>
      <c r="GF134"/>
      <c r="GG134" s="74"/>
      <c r="GH134" s="74"/>
      <c r="GI134" s="28">
        <f t="shared" si="108"/>
        <v>2075</v>
      </c>
      <c r="GJ134" s="9">
        <f>IF($GX$88+$C$10&gt;=GI134,-AG134,IF(GI134=$GX$88+$C$10+1,$FB$93,0))</f>
        <v>0</v>
      </c>
      <c r="GK134" s="5">
        <f t="shared" si="109"/>
        <v>659809.66311587719</v>
      </c>
      <c r="GL134" s="5">
        <f t="shared" si="110"/>
        <v>8940012.3787767235</v>
      </c>
      <c r="GM134" s="35">
        <f t="shared" si="171"/>
        <v>14707.926294421228</v>
      </c>
      <c r="GN134" s="4">
        <f t="shared" si="151"/>
        <v>9581550.7264261264</v>
      </c>
      <c r="GO134" s="5">
        <f t="shared" si="111"/>
        <v>626830.42135498114</v>
      </c>
      <c r="GP134" s="5">
        <f t="shared" si="152"/>
        <v>4387.8129494848608</v>
      </c>
      <c r="GQ134" s="5">
        <f t="shared" si="112"/>
        <v>4387.8129494848608</v>
      </c>
      <c r="GR134" s="4">
        <f t="shared" si="153"/>
        <v>810.0999657986423</v>
      </c>
      <c r="GS134" s="7">
        <f t="shared" si="113"/>
        <v>62452.187443171693</v>
      </c>
      <c r="GT134" s="107" t="e">
        <f>IF($DG$62=0,EX134,IF(GI134-$C$10+1&lt;=$GF$98,0,#REF!-FX134))</f>
        <v>#REF!</v>
      </c>
      <c r="GU134"/>
      <c r="GV134"/>
      <c r="GW134"/>
      <c r="GX134"/>
      <c r="GY134" s="74"/>
      <c r="GZ134" s="74"/>
      <c r="HA134" s="74"/>
      <c r="HB134" s="74"/>
      <c r="HC134" s="74"/>
      <c r="HD134" s="74"/>
    </row>
    <row r="135" spans="2:212" ht="16.149999999999999" thickBot="1" x14ac:dyDescent="0.55000000000000004">
      <c r="B135" s="333"/>
      <c r="C135" s="75"/>
      <c r="D135" s="75"/>
      <c r="F135" s="75"/>
      <c r="G135" s="75"/>
      <c r="H135" s="75"/>
      <c r="I135" s="75"/>
      <c r="J135" s="75"/>
      <c r="K135" s="75"/>
      <c r="L135" s="75"/>
      <c r="M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AB135" s="117" t="str">
        <f t="shared" si="34"/>
        <v/>
      </c>
      <c r="AC135" s="117" t="str">
        <f t="shared" si="35"/>
        <v/>
      </c>
      <c r="AD135" s="299">
        <f>IF($C$20="NEIN",$C$21,IF($C$22="JA",'HISTORISCHE RENDITEN'!E59,'HISTORISCHE RENDITEN'!D59))</f>
        <v>-7.9199999999999993E-2</v>
      </c>
      <c r="AE135" s="129">
        <f t="shared" ref="AE135:AE150" si="174">AE134+1</f>
        <v>83</v>
      </c>
      <c r="AF135" s="120">
        <f t="shared" si="154"/>
        <v>2076</v>
      </c>
      <c r="AG135" s="122">
        <f t="shared" si="123"/>
        <v>0</v>
      </c>
      <c r="AH135" s="124">
        <f t="shared" si="155"/>
        <v>430891.77838569693</v>
      </c>
      <c r="AI135" s="296">
        <f t="shared" si="114"/>
        <v>927099.62955415912</v>
      </c>
      <c r="AJ135" s="123">
        <f t="shared" si="67"/>
        <v>0</v>
      </c>
      <c r="AK135" s="124">
        <f t="shared" si="156"/>
        <v>853673.33889346977</v>
      </c>
      <c r="AL135" s="122">
        <f t="shared" si="124"/>
        <v>-73426.290660689352</v>
      </c>
      <c r="AM135" s="122" t="b">
        <f>IF($C$25="Ausschütter",0,IF(AL135&gt;=0,(AI135+AJ135)*$C$48*0.7))</f>
        <v>0</v>
      </c>
      <c r="AN135" s="122">
        <f t="shared" si="125"/>
        <v>0</v>
      </c>
      <c r="AO135" s="122">
        <f t="shared" si="39"/>
        <v>0</v>
      </c>
      <c r="AP135" s="122">
        <f t="shared" si="69"/>
        <v>18898.78733082506</v>
      </c>
      <c r="AQ135" s="122">
        <f>IF($C$25="AUSSCHÜTTER",0,IF(AO135*$C$46*$C$49&lt;=$C$47,0,AO135*$C$46*$C$49))</f>
        <v>0</v>
      </c>
      <c r="AR135" s="122">
        <f>IF(AO134*$C$49&gt;$C$47,(AN135)*$C$49*$C$46,IF((AO134+AN135)*$C$49&gt;$C$47,((AO134+AN135)*$C$49-$C$47)*$C$46,0))</f>
        <v>0</v>
      </c>
      <c r="AS135" s="122">
        <f t="shared" si="70"/>
        <v>0</v>
      </c>
      <c r="AT135" s="122">
        <f t="shared" si="157"/>
        <v>430891.77838569693</v>
      </c>
      <c r="AU135" s="122">
        <f t="shared" si="115"/>
        <v>0</v>
      </c>
      <c r="AV135" s="122">
        <f t="shared" si="71"/>
        <v>853673.33889346977</v>
      </c>
      <c r="AW135" s="122">
        <f t="shared" si="158"/>
        <v>0</v>
      </c>
      <c r="AX135" s="130">
        <f t="shared" si="159"/>
        <v>0</v>
      </c>
      <c r="AY135" s="82">
        <f>IF(AF135&lt;$C$11,$C$15*(1+$C$19)^(AF135-$C$10),0)</f>
        <v>0</v>
      </c>
      <c r="AZ135" s="82">
        <f>$C$14*(1+$C$37)^(AF135-$C$10)</f>
        <v>69997.91461327023</v>
      </c>
      <c r="BA135" s="165">
        <f>IF(AF135&lt;$C$11,0,MAX($C$38*AI135,AZ135))</f>
        <v>69997.91461327023</v>
      </c>
      <c r="BB135" s="82">
        <f>IF(AF135&lt;$C$11,0,MAX($C$38*AI135,AZ135))</f>
        <v>69997.91461327023</v>
      </c>
      <c r="BC135" s="136">
        <f>IF($C$39="JA",CT135,DG135)</f>
        <v>18461.949979250021</v>
      </c>
      <c r="BD135" s="82">
        <f t="shared" si="126"/>
        <v>0</v>
      </c>
      <c r="BE135" s="82">
        <f>IF(AF135&lt;($C$8+$C$30),0,$C$29*12*(1-$C$31))</f>
        <v>0</v>
      </c>
      <c r="BF135" s="82">
        <f>IF(AF135&lt;($C$8+$C$34),0,$C$33*12*(1-$C$35))</f>
        <v>0</v>
      </c>
      <c r="BG135" s="82">
        <f>IF(AF135&lt;$C$11,0,IF(AI135&lt;0,$C$42*(1+$C$44)^(AF135-$C$10),IF(((AL135+BE135+BF135)*$C$41)&lt;$C$42*(1+$C$44)^(AF135-$C$10),$C$42*(1+$C$44)^(AF135-$C$10),IF(((AL135+BE135+BF135)*$C$41)&lt;$C$43*(1+$C$44)^(AF135-$C$10),(AL135+BE135+BF135)*$C$41,IF(((AL135+BE135+BF135+BB135)*$C$41)&lt;$C$43*(1+$C$44)^(AF135-$C$10),((AL135+BE135+BF135+BB135)*$C$41),$C$43*(1+$C$44)^(AF135-$C$10))))))</f>
        <v>5443.0655616461681</v>
      </c>
      <c r="BH135" s="82">
        <f t="shared" si="72"/>
        <v>93902.930154166417</v>
      </c>
      <c r="BI135" s="242">
        <f t="shared" si="73"/>
        <v>853673.33889346977</v>
      </c>
      <c r="BJ135" s="217">
        <f t="shared" si="74"/>
        <v>759770.40873930336</v>
      </c>
      <c r="BK135" s="118"/>
      <c r="BL135" s="219">
        <f t="shared" si="127"/>
        <v>39</v>
      </c>
      <c r="BM135" s="220">
        <f t="shared" si="128"/>
        <v>56</v>
      </c>
      <c r="BN135" s="220">
        <f t="shared" si="173"/>
        <v>0</v>
      </c>
      <c r="BO135" s="221">
        <f t="shared" si="129"/>
        <v>0</v>
      </c>
      <c r="BP135" s="221">
        <f t="shared" si="130"/>
        <v>0</v>
      </c>
      <c r="BQ135" s="222">
        <f t="shared" si="9"/>
        <v>0</v>
      </c>
      <c r="BR135" s="223">
        <f>IF(BM135&lt;$C$11-$C$10+1,0,IF(BL135&lt;=$C$13,VLOOKUP(BL135,$BN$80:$BQ$156,2,FALSE)-BS135,0))</f>
        <v>0</v>
      </c>
      <c r="BS135" s="223">
        <f>IF(BM135&lt;$C$11-$C$10+1,0,IF(BL135&lt;=$C$13,VLOOKUP(BL135,$BN$80:$BQ$156,3,FALSE),0))</f>
        <v>0</v>
      </c>
      <c r="BT135" s="222">
        <f>IF(BM135&lt;$C$11-$C$10+1,0,IF(BL135&lt;=$C$13,VLOOKUP(BL135,$BN$80:$BQ$156,4,FALSE),0))</f>
        <v>0</v>
      </c>
      <c r="BU135" s="223">
        <f t="shared" si="160"/>
        <v>0</v>
      </c>
      <c r="BV135" s="223">
        <f t="shared" si="161"/>
        <v>0</v>
      </c>
      <c r="BW135" s="223">
        <f t="shared" si="118"/>
        <v>0</v>
      </c>
      <c r="BX135" s="223">
        <f>IF(AND(BS135&lt;=0,BN135=0),MIN((MAX($BZ$80:$BZ$156)-SUM($BX$80:BX134)),CA135),IF(BS135&lt;CA135,BS135,CA135))</f>
        <v>0</v>
      </c>
      <c r="BY135" s="222">
        <f>IF(BN135&gt;0,0,IF(AND(BN135=0,BT135&lt;=0),100%,((BW134*(AVERAGE($BT$80:BT134))+(BR135*BT135))/(BR135+BW134+BS135+BV134))))</f>
        <v>1</v>
      </c>
      <c r="BZ135" s="139">
        <f t="shared" si="162"/>
        <v>430891.77838569693</v>
      </c>
      <c r="CA135" s="122">
        <f t="shared" si="131"/>
        <v>69997.91461327023</v>
      </c>
      <c r="CB135" s="181">
        <f t="shared" si="47"/>
        <v>1</v>
      </c>
      <c r="CC135" s="122">
        <f t="shared" si="48"/>
        <v>1962157.0485667102</v>
      </c>
      <c r="CD135" s="182">
        <f t="shared" si="119"/>
        <v>0</v>
      </c>
      <c r="CE135" s="122">
        <f t="shared" si="75"/>
        <v>430891.77838569693</v>
      </c>
      <c r="CF135" s="122">
        <f t="shared" si="76"/>
        <v>0</v>
      </c>
      <c r="CG135" s="122" t="str">
        <f t="shared" si="132"/>
        <v/>
      </c>
      <c r="CH135" s="140">
        <f t="shared" si="133"/>
        <v>1</v>
      </c>
      <c r="CI135" s="142">
        <f t="shared" si="77"/>
        <v>9984</v>
      </c>
      <c r="CJ135" s="134">
        <f>CI135*$C$57</f>
        <v>0</v>
      </c>
      <c r="CK135" s="142">
        <f t="shared" si="78"/>
        <v>14926</v>
      </c>
      <c r="CL135" s="134">
        <f>CK135*$C$57</f>
        <v>0</v>
      </c>
      <c r="CM135" s="142">
        <f t="shared" si="79"/>
        <v>58596</v>
      </c>
      <c r="CN135" s="134">
        <f>CM135*$C$57</f>
        <v>0</v>
      </c>
      <c r="CO135" s="132">
        <f t="shared" si="117"/>
        <v>69997.91461327023</v>
      </c>
      <c r="CP135" s="140">
        <f t="shared" si="134"/>
        <v>0.42</v>
      </c>
      <c r="CQ135" s="121" t="str">
        <f>IF($C$50="NEIN","NEIN",IF(CS135&lt;CR135,"JA","NEIN"))</f>
        <v>NEIN</v>
      </c>
      <c r="CR135" s="121">
        <f>CO135*$C$46</f>
        <v>18461.949979250021</v>
      </c>
      <c r="CS135" s="121">
        <f t="shared" si="135"/>
        <v>20131.594137573498</v>
      </c>
      <c r="CT135" s="201">
        <f>IF($C$50="NEIN",CR135,IF(CQ135="NEIN",CR135,CS135))</f>
        <v>18461.949979250021</v>
      </c>
      <c r="CU135" s="149"/>
      <c r="CV135" s="202">
        <f t="shared" si="80"/>
        <v>9984</v>
      </c>
      <c r="CW135" s="134">
        <f>CV135*$C$57</f>
        <v>0</v>
      </c>
      <c r="CX135" s="142">
        <f t="shared" si="81"/>
        <v>14926</v>
      </c>
      <c r="CY135" s="134">
        <f>CX135*$C$57</f>
        <v>0</v>
      </c>
      <c r="CZ135" s="142">
        <f t="shared" si="82"/>
        <v>58596</v>
      </c>
      <c r="DA135" s="143">
        <f>CZ135*$C$57</f>
        <v>0</v>
      </c>
      <c r="DB135" s="165">
        <f t="shared" si="120"/>
        <v>69997.91461327023</v>
      </c>
      <c r="DC135" s="140">
        <f t="shared" si="136"/>
        <v>0.42</v>
      </c>
      <c r="DD135" s="121" t="str">
        <f>IF($C$50="NEIN","NEIN",IF(DF135&lt;DE135,"JA","NEIN"))</f>
        <v>NEIN</v>
      </c>
      <c r="DE135" s="121">
        <f>DB135*$C$46</f>
        <v>18461.949979250021</v>
      </c>
      <c r="DF135" s="121">
        <f t="shared" si="137"/>
        <v>20131.594137573498</v>
      </c>
      <c r="DG135" s="201">
        <f>IF($C$50="NEIN",DE135,IF(DD135="NEIN",DE135,DF135))</f>
        <v>18461.949979250021</v>
      </c>
      <c r="DH135" s="159"/>
      <c r="DI135" s="74"/>
      <c r="DJ135" s="74"/>
      <c r="DK135" s="128"/>
      <c r="DL135" s="128"/>
      <c r="DM135" s="128"/>
      <c r="DN135" s="74"/>
      <c r="DO135" s="28">
        <f t="shared" si="83"/>
        <v>2076</v>
      </c>
      <c r="DP135" s="17">
        <f>IF($C$13+$C$10&gt;=DO135,-AG135,IF(DO135=$C$13+$C$10+1,$EK$93,0))</f>
        <v>0</v>
      </c>
      <c r="DQ135" s="17">
        <f t="shared" si="84"/>
        <v>2743732.1110831574</v>
      </c>
      <c r="DR135" s="17">
        <f t="shared" si="85"/>
        <v>9003551.9497052468</v>
      </c>
      <c r="DS135" s="17">
        <f t="shared" si="163"/>
        <v>150033.12438246771</v>
      </c>
      <c r="DT135" s="17">
        <f t="shared" si="138"/>
        <v>9794336.0292738546</v>
      </c>
      <c r="DU135" s="17">
        <f t="shared" si="86"/>
        <v>640750.95518613979</v>
      </c>
      <c r="DV135" s="33">
        <f t="shared" si="139"/>
        <v>4485.2566863029806</v>
      </c>
      <c r="DW135" s="32">
        <f t="shared" si="140"/>
        <v>195886.7205854771</v>
      </c>
      <c r="DX135" s="17">
        <f t="shared" si="87"/>
        <v>0</v>
      </c>
      <c r="DY135" s="17">
        <f t="shared" si="88"/>
        <v>0</v>
      </c>
      <c r="DZ135" s="17">
        <f t="shared" si="141"/>
        <v>0</v>
      </c>
      <c r="EA135" s="17">
        <f t="shared" si="164"/>
        <v>35954.322038093705</v>
      </c>
      <c r="EB135" s="15">
        <f t="shared" si="165"/>
        <v>159932.3985473834</v>
      </c>
      <c r="EC135" s="15">
        <f>IF(DP135=0,EC134,IF(DO135&lt;=$EK$88+$C$10,ABS(DP135)+EC134,EC134))</f>
        <v>430891.77838569693</v>
      </c>
      <c r="ED135" s="15">
        <f t="shared" si="89"/>
        <v>545559.53272123775</v>
      </c>
      <c r="EE135" s="16">
        <f t="shared" si="90"/>
        <v>9794336.0292738546</v>
      </c>
      <c r="EF135" s="15">
        <f t="shared" si="142"/>
        <v>150033.12438246771</v>
      </c>
      <c r="EG135" s="15">
        <f t="shared" si="91"/>
        <v>2312840.3326974604</v>
      </c>
      <c r="EH135" s="16"/>
      <c r="EI135" s="16"/>
      <c r="EJ135"/>
      <c r="EK135"/>
      <c r="EL135"/>
      <c r="EM135" s="28">
        <f t="shared" si="92"/>
        <v>2076</v>
      </c>
      <c r="EN135" s="29">
        <f>IF($C$13+$C$10&gt;=EM135,-(AG135),IF(EM135=$C$13+$C$10+1,$FB$93,0))</f>
        <v>0</v>
      </c>
      <c r="EO135" s="30">
        <f t="shared" si="93"/>
        <v>429120.74738088215</v>
      </c>
      <c r="EP135" s="30">
        <f t="shared" si="94"/>
        <v>10827271.976968946</v>
      </c>
      <c r="EQ135" s="30">
        <f t="shared" si="166"/>
        <v>-915.42307802473522</v>
      </c>
      <c r="ER135" s="25">
        <f t="shared" si="143"/>
        <v>11584201.512663286</v>
      </c>
      <c r="ES135" s="30">
        <f t="shared" si="95"/>
        <v>757844.958772365</v>
      </c>
      <c r="ET135" s="26">
        <f t="shared" si="144"/>
        <v>5304.9147114065509</v>
      </c>
      <c r="EU135" s="30">
        <f t="shared" si="96"/>
        <v>5304.9147114065509</v>
      </c>
      <c r="EV135" s="25">
        <f t="shared" si="145"/>
        <v>979.41987859343431</v>
      </c>
      <c r="EW135" s="31">
        <f t="shared" si="97"/>
        <v>78085.565356976746</v>
      </c>
      <c r="EX135" s="27">
        <f>IF(EM135=0,EX134,IF(EM135&lt;=$FB$88+$C$10,ABS(EN135)+EX134,EX134))</f>
        <v>430891.77838569693</v>
      </c>
      <c r="EY135" s="15"/>
      <c r="EZ135"/>
      <c r="FA135"/>
      <c r="FB135"/>
      <c r="FC135" s="74"/>
      <c r="FD135" s="74"/>
      <c r="FE135" s="74"/>
      <c r="FF135" s="74"/>
      <c r="FG135" s="74"/>
      <c r="FH135" s="74"/>
      <c r="FI135" s="74"/>
      <c r="FJ135" s="28">
        <f t="shared" si="98"/>
        <v>2076</v>
      </c>
      <c r="FK135" s="65">
        <f>IF($C$13+$C$10&gt;=FJ135,-AG135,IF(FJ135=$C$13+$C$10+1,$EK$93,0))</f>
        <v>0</v>
      </c>
      <c r="FL135" s="65">
        <f t="shared" si="99"/>
        <v>74118.803999999975</v>
      </c>
      <c r="FM135" s="65">
        <f t="shared" si="100"/>
        <v>961147.84387695789</v>
      </c>
      <c r="FN135" s="65">
        <f t="shared" si="167"/>
        <v>0</v>
      </c>
      <c r="FO135" s="65">
        <f t="shared" si="146"/>
        <v>1028428.192948345</v>
      </c>
      <c r="FP135" s="65">
        <f t="shared" si="101"/>
        <v>67280.349071387085</v>
      </c>
      <c r="FQ135" s="59">
        <f t="shared" si="147"/>
        <v>470.96244349970931</v>
      </c>
      <c r="FR135" s="60">
        <f t="shared" si="148"/>
        <v>20568.5638589669</v>
      </c>
      <c r="FS135" s="65">
        <f t="shared" si="102"/>
        <v>0</v>
      </c>
      <c r="FT135" s="65">
        <f t="shared" si="103"/>
        <v>0</v>
      </c>
      <c r="FU135" s="65">
        <f t="shared" si="149"/>
        <v>0</v>
      </c>
      <c r="FV135" s="65">
        <f t="shared" si="168"/>
        <v>3586.2073524617631</v>
      </c>
      <c r="FW135" s="61">
        <f t="shared" si="169"/>
        <v>16982.356506505137</v>
      </c>
      <c r="FX135" s="61">
        <f>IF(AND(FJ135&lt;=$GF$88+$C$10,FV134&lt;=0,FN135&gt;0),(FJ135-$C$10+1)*AG135+$GF$80,FX134)</f>
        <v>73074.599999999977</v>
      </c>
      <c r="FY135" s="62">
        <f t="shared" si="170"/>
        <v>16.97502459585122</v>
      </c>
      <c r="FZ135" s="63">
        <f t="shared" si="104"/>
        <v>1028428.192948345</v>
      </c>
      <c r="GA135" s="64">
        <f t="shared" si="105"/>
        <v>19615.262119937917</v>
      </c>
      <c r="GB135" s="64">
        <f t="shared" si="106"/>
        <v>390584.8035672197</v>
      </c>
      <c r="GC135" s="66">
        <f t="shared" si="150"/>
        <v>0</v>
      </c>
      <c r="GD135" s="64">
        <f t="shared" si="107"/>
        <v>1580.6039999999994</v>
      </c>
      <c r="GE135"/>
      <c r="GF135"/>
      <c r="GG135" s="74"/>
      <c r="GH135" s="74"/>
      <c r="GI135" s="28">
        <f t="shared" si="108"/>
        <v>2076</v>
      </c>
      <c r="GJ135" s="9">
        <f>IF($GX$88+$C$10&gt;=GI135,-AG135,IF(GI135=$GX$88+$C$10+1,$FB$93,0))</f>
        <v>0</v>
      </c>
      <c r="GK135" s="5">
        <f t="shared" si="109"/>
        <v>675204.62125112291</v>
      </c>
      <c r="GL135" s="5">
        <f t="shared" si="110"/>
        <v>9581550.7264261264</v>
      </c>
      <c r="GM135" s="35">
        <f t="shared" si="171"/>
        <v>15394.958135245737</v>
      </c>
      <c r="GN135" s="4">
        <f t="shared" si="151"/>
        <v>10268731.882480668</v>
      </c>
      <c r="GO135" s="5">
        <f t="shared" si="111"/>
        <v>671786.1979192961</v>
      </c>
      <c r="GP135" s="5">
        <f t="shared" si="152"/>
        <v>4702.5033854350722</v>
      </c>
      <c r="GQ135" s="5">
        <f t="shared" si="112"/>
        <v>4702.5033854350722</v>
      </c>
      <c r="GR135" s="4">
        <f t="shared" si="153"/>
        <v>868.19968753595003</v>
      </c>
      <c r="GS135" s="7">
        <f t="shared" si="113"/>
        <v>67154.690828606763</v>
      </c>
      <c r="GT135" s="107" t="e">
        <f>IF($DG$62=0,EX135,IF(GI135-$C$10+1&lt;=$GF$98,0,#REF!-FX135))</f>
        <v>#REF!</v>
      </c>
      <c r="GU135"/>
      <c r="GV135"/>
      <c r="GW135"/>
      <c r="GX135"/>
      <c r="GY135" s="74"/>
      <c r="GZ135" s="74"/>
      <c r="HA135" s="74"/>
      <c r="HB135" s="74"/>
      <c r="HC135" s="74"/>
      <c r="HD135" s="74"/>
    </row>
    <row r="136" spans="2:212" ht="16.149999999999999" thickBot="1" x14ac:dyDescent="0.55000000000000004">
      <c r="B136" s="333"/>
      <c r="C136" s="75"/>
      <c r="D136" s="75"/>
      <c r="F136" s="75"/>
      <c r="G136" s="75"/>
      <c r="H136" s="75"/>
      <c r="I136" s="75"/>
      <c r="J136" s="75"/>
      <c r="K136" s="75"/>
      <c r="L136" s="75"/>
      <c r="M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AB136" s="117" t="str">
        <f t="shared" si="34"/>
        <v/>
      </c>
      <c r="AC136" s="117" t="str">
        <f t="shared" si="35"/>
        <v/>
      </c>
      <c r="AD136" s="299">
        <f>IF($C$20="NEIN",$C$21,IF($C$22="JA",'HISTORISCHE RENDITEN'!E60,'HISTORISCHE RENDITEN'!D60))</f>
        <v>5.8200000000000002E-2</v>
      </c>
      <c r="AE136" s="129">
        <f t="shared" si="174"/>
        <v>84</v>
      </c>
      <c r="AF136" s="120">
        <f t="shared" si="154"/>
        <v>2077</v>
      </c>
      <c r="AG136" s="122">
        <f t="shared" si="123"/>
        <v>0</v>
      </c>
      <c r="AH136" s="124">
        <f t="shared" si="155"/>
        <v>430891.77838569693</v>
      </c>
      <c r="AI136" s="296">
        <f t="shared" si="114"/>
        <v>759770.40873930336</v>
      </c>
      <c r="AJ136" s="123">
        <f t="shared" si="67"/>
        <v>0</v>
      </c>
      <c r="AK136" s="124">
        <f t="shared" si="156"/>
        <v>803989.04652793088</v>
      </c>
      <c r="AL136" s="122">
        <f t="shared" si="124"/>
        <v>44218.63778862753</v>
      </c>
      <c r="AM136" s="122">
        <f>IF($C$25="Ausschütter",0,IF(AL136&gt;=0,(AI136+AJ136)*$C$48*0.7))</f>
        <v>372.28750028225858</v>
      </c>
      <c r="AN136" s="122">
        <f t="shared" si="125"/>
        <v>0</v>
      </c>
      <c r="AO136" s="122">
        <f t="shared" si="39"/>
        <v>372.28750028225858</v>
      </c>
      <c r="AP136" s="122">
        <f t="shared" si="69"/>
        <v>19271.074831107318</v>
      </c>
      <c r="AQ136" s="122">
        <f>IF($C$25="AUSSCHÜTTER",0,IF(AO136*$C$46*$C$49&lt;=$C$47,0,AO136*$C$46*$C$49))</f>
        <v>0</v>
      </c>
      <c r="AR136" s="122">
        <f>IF(AO135*$C$49&gt;$C$47,(AN136)*$C$49*$C$46,IF((AO135+AN136)*$C$49&gt;$C$47,((AO135+AN136)*$C$49-$C$47)*$C$46,0))</f>
        <v>0</v>
      </c>
      <c r="AS136" s="122">
        <f t="shared" si="70"/>
        <v>0</v>
      </c>
      <c r="AT136" s="122">
        <f t="shared" si="157"/>
        <v>430891.77838569693</v>
      </c>
      <c r="AU136" s="122">
        <f t="shared" si="115"/>
        <v>0</v>
      </c>
      <c r="AV136" s="122">
        <f t="shared" si="71"/>
        <v>803989.04652793088</v>
      </c>
      <c r="AW136" s="122">
        <f t="shared" si="158"/>
        <v>0</v>
      </c>
      <c r="AX136" s="130">
        <f t="shared" si="159"/>
        <v>0</v>
      </c>
      <c r="AY136" s="82">
        <f>IF(AF136&lt;$C$11,$C$15*(1+$C$19)^(AF136-$C$10),0)</f>
        <v>0</v>
      </c>
      <c r="AZ136" s="82">
        <f>$C$14*(1+$C$37)^(AF136-$C$10)</f>
        <v>71747.862478601994</v>
      </c>
      <c r="BA136" s="165">
        <f>IF(AF136&lt;$C$11,0,MAX($C$38*AI136,AZ136))</f>
        <v>71747.862478601994</v>
      </c>
      <c r="BB136" s="82">
        <f>IF(AF136&lt;$C$11,0,MAX($C$38*AI136,AZ136))</f>
        <v>71747.862478601994</v>
      </c>
      <c r="BC136" s="136">
        <f>IF($C$39="JA",CT136,DG136)</f>
        <v>18923.498728731276</v>
      </c>
      <c r="BD136" s="82">
        <f t="shared" si="126"/>
        <v>0</v>
      </c>
      <c r="BE136" s="82">
        <f>IF(AF136&lt;($C$8+$C$30),0,$C$29*12*(1-$C$31))</f>
        <v>0</v>
      </c>
      <c r="BF136" s="82">
        <f>IF(AF136&lt;($C$8+$C$34),0,$C$33*12*(1-$C$35))</f>
        <v>0</v>
      </c>
      <c r="BG136" s="82">
        <f>IF(AF136&lt;$C$11,0,IF(AI136&lt;0,$C$42*(1+$C$44)^(AF136-$C$10),IF(((AL136+BE136+BF136)*$C$41)&lt;$C$42*(1+$C$44)^(AF136-$C$10),$C$42*(1+$C$44)^(AF136-$C$10),IF(((AL136+BE136+BF136)*$C$41)&lt;$C$43*(1+$C$44)^(AF136-$C$10),(AL136+BE136+BF136)*$C$41,IF(((AL136+BE136+BF136+BB136)*$C$41)&lt;$C$43*(1+$C$44)^(AF136-$C$10),((AL136+BE136+BF136+BB136)*$C$41),$C$43*(1+$C$44)^(AF136-$C$10))))))</f>
        <v>8401.5411798392306</v>
      </c>
      <c r="BH136" s="82">
        <f t="shared" si="72"/>
        <v>99072.902387172508</v>
      </c>
      <c r="BI136" s="242">
        <f t="shared" si="73"/>
        <v>803989.04652793088</v>
      </c>
      <c r="BJ136" s="217">
        <f t="shared" si="74"/>
        <v>704916.14414075832</v>
      </c>
      <c r="BK136" s="118"/>
      <c r="BL136" s="219">
        <f t="shared" si="127"/>
        <v>40</v>
      </c>
      <c r="BM136" s="220">
        <f t="shared" si="128"/>
        <v>57</v>
      </c>
      <c r="BN136" s="220">
        <f t="shared" si="173"/>
        <v>0</v>
      </c>
      <c r="BO136" s="221">
        <f t="shared" si="129"/>
        <v>0</v>
      </c>
      <c r="BP136" s="221">
        <f t="shared" si="130"/>
        <v>0</v>
      </c>
      <c r="BQ136" s="222">
        <f t="shared" si="9"/>
        <v>0</v>
      </c>
      <c r="BR136" s="223">
        <f>IF(BM136&lt;$C$11-$C$10+1,0,IF(BL136&lt;=$C$13,VLOOKUP(BL136,$BN$80:$BQ$156,2,FALSE)-BS136,0))</f>
        <v>0</v>
      </c>
      <c r="BS136" s="223">
        <f>IF(BM136&lt;$C$11-$C$10+1,0,IF(BL136&lt;=$C$13,VLOOKUP(BL136,$BN$80:$BQ$156,3,FALSE),0))</f>
        <v>0</v>
      </c>
      <c r="BT136" s="222">
        <f>IF(BM136&lt;$C$11-$C$10+1,0,IF(BL136&lt;=$C$13,VLOOKUP(BL136,$BN$80:$BQ$156,4,FALSE),0))</f>
        <v>0</v>
      </c>
      <c r="BU136" s="223">
        <f t="shared" si="160"/>
        <v>0</v>
      </c>
      <c r="BV136" s="223">
        <f t="shared" si="161"/>
        <v>0</v>
      </c>
      <c r="BW136" s="223">
        <f t="shared" si="118"/>
        <v>0</v>
      </c>
      <c r="BX136" s="223">
        <f>IF(AND(BS136&lt;=0,BN136=0),MIN((MAX($BZ$80:$BZ$156)-SUM($BX$80:BX135)),CA136),IF(BS136&lt;CA136,BS136,CA136))</f>
        <v>0</v>
      </c>
      <c r="BY136" s="222">
        <f>IF(BN136&gt;0,0,IF(AND(BN136=0,BT136&lt;=0),100%,((BW135*(AVERAGE($BT$80:BT135))+(BR136*BT136))/(BR136+BW135+BS136+BV135))))</f>
        <v>1</v>
      </c>
      <c r="BZ136" s="139">
        <f t="shared" si="162"/>
        <v>430891.77838569693</v>
      </c>
      <c r="CA136" s="122">
        <f t="shared" si="131"/>
        <v>71747.862478601994</v>
      </c>
      <c r="CB136" s="181">
        <f t="shared" si="47"/>
        <v>1</v>
      </c>
      <c r="CC136" s="122">
        <f t="shared" si="48"/>
        <v>2033904.9110453122</v>
      </c>
      <c r="CD136" s="182">
        <f t="shared" si="119"/>
        <v>0</v>
      </c>
      <c r="CE136" s="122">
        <f t="shared" si="75"/>
        <v>430891.77838569693</v>
      </c>
      <c r="CF136" s="122">
        <f t="shared" si="76"/>
        <v>0</v>
      </c>
      <c r="CG136" s="122" t="str">
        <f t="shared" si="132"/>
        <v/>
      </c>
      <c r="CH136" s="140">
        <f t="shared" si="133"/>
        <v>1</v>
      </c>
      <c r="CI136" s="142">
        <f t="shared" si="77"/>
        <v>9984</v>
      </c>
      <c r="CJ136" s="134">
        <f>CI136*$C$57</f>
        <v>0</v>
      </c>
      <c r="CK136" s="142">
        <f t="shared" si="78"/>
        <v>14926</v>
      </c>
      <c r="CL136" s="134">
        <f>CK136*$C$57</f>
        <v>0</v>
      </c>
      <c r="CM136" s="142">
        <f t="shared" si="79"/>
        <v>58596</v>
      </c>
      <c r="CN136" s="134">
        <f>CM136*$C$57</f>
        <v>0</v>
      </c>
      <c r="CO136" s="132">
        <f t="shared" si="117"/>
        <v>71747.862478601994</v>
      </c>
      <c r="CP136" s="140">
        <f t="shared" si="134"/>
        <v>0.42</v>
      </c>
      <c r="CQ136" s="121" t="str">
        <f>IF($C$50="NEIN","NEIN",IF(CS136&lt;CR136,"JA","NEIN"))</f>
        <v>NEIN</v>
      </c>
      <c r="CR136" s="121">
        <f>CO136*$C$46</f>
        <v>18923.498728731276</v>
      </c>
      <c r="CS136" s="121">
        <f t="shared" si="135"/>
        <v>20866.572241012836</v>
      </c>
      <c r="CT136" s="201">
        <f>IF($C$50="NEIN",CR136,IF(CQ136="NEIN",CR136,CS136))</f>
        <v>18923.498728731276</v>
      </c>
      <c r="CU136" s="149"/>
      <c r="CV136" s="202">
        <f t="shared" si="80"/>
        <v>9984</v>
      </c>
      <c r="CW136" s="134">
        <f>CV136*$C$57</f>
        <v>0</v>
      </c>
      <c r="CX136" s="142">
        <f t="shared" si="81"/>
        <v>14926</v>
      </c>
      <c r="CY136" s="134">
        <f>CX136*$C$57</f>
        <v>0</v>
      </c>
      <c r="CZ136" s="142">
        <f t="shared" si="82"/>
        <v>58596</v>
      </c>
      <c r="DA136" s="143">
        <f>CZ136*$C$57</f>
        <v>0</v>
      </c>
      <c r="DB136" s="165">
        <f t="shared" si="120"/>
        <v>71747.862478601994</v>
      </c>
      <c r="DC136" s="140">
        <f t="shared" si="136"/>
        <v>0.42</v>
      </c>
      <c r="DD136" s="121" t="str">
        <f>IF($C$50="NEIN","NEIN",IF(DF136&lt;DE136,"JA","NEIN"))</f>
        <v>NEIN</v>
      </c>
      <c r="DE136" s="121">
        <f>DB136*$C$46</f>
        <v>18923.498728731276</v>
      </c>
      <c r="DF136" s="121">
        <f t="shared" si="137"/>
        <v>20866.572241012836</v>
      </c>
      <c r="DG136" s="201">
        <f>IF($C$50="NEIN",DE136,IF(DD136="NEIN",DE136,DF136))</f>
        <v>18923.498728731276</v>
      </c>
      <c r="DH136" s="159"/>
      <c r="DI136" s="74"/>
      <c r="DJ136" s="74"/>
      <c r="DK136" s="128"/>
      <c r="DL136" s="128"/>
      <c r="DM136" s="128"/>
      <c r="DN136" s="74"/>
      <c r="DO136" s="28">
        <f t="shared" si="83"/>
        <v>2077</v>
      </c>
      <c r="DP136" s="17">
        <f>IF($C$13+$C$10&gt;=DO136,-AG136,IF(DO136=$C$13+$C$10+1,$EK$93,0))</f>
        <v>0</v>
      </c>
      <c r="DQ136" s="17">
        <f t="shared" si="84"/>
        <v>2903664.5096305409</v>
      </c>
      <c r="DR136" s="17">
        <f t="shared" si="85"/>
        <v>9598449.308688378</v>
      </c>
      <c r="DS136" s="17">
        <f t="shared" si="163"/>
        <v>159932.3985473834</v>
      </c>
      <c r="DT136" s="17">
        <f t="shared" si="138"/>
        <v>10441468.426742265</v>
      </c>
      <c r="DU136" s="17">
        <f t="shared" si="86"/>
        <v>683086.71950650401</v>
      </c>
      <c r="DV136" s="33">
        <f t="shared" si="139"/>
        <v>4781.6070365455225</v>
      </c>
      <c r="DW136" s="32">
        <f t="shared" si="140"/>
        <v>208829.3685348453</v>
      </c>
      <c r="DX136" s="17">
        <f t="shared" si="87"/>
        <v>0</v>
      </c>
      <c r="DY136" s="17">
        <f t="shared" si="88"/>
        <v>0</v>
      </c>
      <c r="DZ136" s="17">
        <f t="shared" si="141"/>
        <v>0</v>
      </c>
      <c r="EA136" s="17">
        <f t="shared" si="164"/>
        <v>38343.85841574581</v>
      </c>
      <c r="EB136" s="15">
        <f t="shared" si="165"/>
        <v>170485.51011909949</v>
      </c>
      <c r="EC136" s="15">
        <f>IF(DP136=0,EC135,IF(DO136&lt;=$EK$88+$C$10,ABS(DP136)+EC135,EC135))</f>
        <v>430891.77838569693</v>
      </c>
      <c r="ED136" s="15">
        <f t="shared" si="89"/>
        <v>583903.39113698353</v>
      </c>
      <c r="EE136" s="16">
        <f t="shared" si="90"/>
        <v>10441468.426742265</v>
      </c>
      <c r="EF136" s="15">
        <f t="shared" si="142"/>
        <v>159932.3985473834</v>
      </c>
      <c r="EG136" s="15">
        <f t="shared" si="91"/>
        <v>2472772.7312448439</v>
      </c>
      <c r="EH136" s="16"/>
      <c r="EI136" s="16"/>
      <c r="EJ136"/>
      <c r="EK136"/>
      <c r="EL136"/>
      <c r="EM136" s="28">
        <f t="shared" si="92"/>
        <v>2077</v>
      </c>
      <c r="EN136" s="29">
        <f>IF($C$13+$C$10&gt;=EM136,-(AG136),IF(EM136=$C$13+$C$10+1,$FB$93,0))</f>
        <v>0</v>
      </c>
      <c r="EO136" s="30">
        <f t="shared" si="93"/>
        <v>428141.32750228874</v>
      </c>
      <c r="EP136" s="30">
        <f t="shared" si="94"/>
        <v>11584201.512663286</v>
      </c>
      <c r="EQ136" s="30">
        <f t="shared" si="166"/>
        <v>-979.41987859343431</v>
      </c>
      <c r="ER136" s="25">
        <f t="shared" si="143"/>
        <v>12394047.639279623</v>
      </c>
      <c r="ES136" s="30">
        <f t="shared" si="95"/>
        <v>810825.54649492912</v>
      </c>
      <c r="ET136" s="26">
        <f t="shared" si="144"/>
        <v>5675.7788254644993</v>
      </c>
      <c r="EU136" s="30">
        <f t="shared" si="96"/>
        <v>5675.7788254644993</v>
      </c>
      <c r="EV136" s="25">
        <f t="shared" si="145"/>
        <v>1047.890665651383</v>
      </c>
      <c r="EW136" s="31">
        <f t="shared" si="97"/>
        <v>83761.344182441244</v>
      </c>
      <c r="EX136" s="27">
        <f>IF(EM136=0,EX135,IF(EM136&lt;=$FB$88+$C$10,ABS(EN136)+EX135,EX135))</f>
        <v>430891.77838569693</v>
      </c>
      <c r="EY136" s="15"/>
      <c r="EZ136"/>
      <c r="FA136"/>
      <c r="FB136"/>
      <c r="FC136" s="74"/>
      <c r="FD136" s="74"/>
      <c r="FE136" s="74"/>
      <c r="FF136" s="74"/>
      <c r="FG136" s="74"/>
      <c r="FH136" s="74"/>
      <c r="FI136" s="74"/>
      <c r="FJ136" s="28">
        <f t="shared" si="98"/>
        <v>2077</v>
      </c>
      <c r="FK136" s="65">
        <f>IF($C$13+$C$10&gt;=FJ136,-AG136,IF(FJ136=$C$13+$C$10+1,$EK$93,0))</f>
        <v>0</v>
      </c>
      <c r="FL136" s="65">
        <f t="shared" si="99"/>
        <v>74118.803999999975</v>
      </c>
      <c r="FM136" s="65">
        <f t="shared" si="100"/>
        <v>1007859.6290893781</v>
      </c>
      <c r="FN136" s="65">
        <f t="shared" si="167"/>
        <v>0</v>
      </c>
      <c r="FO136" s="65">
        <f t="shared" si="146"/>
        <v>1078409.8031256346</v>
      </c>
      <c r="FP136" s="65">
        <f t="shared" si="101"/>
        <v>70550.174036256503</v>
      </c>
      <c r="FQ136" s="59">
        <f t="shared" si="147"/>
        <v>493.8512182537952</v>
      </c>
      <c r="FR136" s="60">
        <f t="shared" si="148"/>
        <v>21568.196062512692</v>
      </c>
      <c r="FS136" s="65">
        <f t="shared" si="102"/>
        <v>0</v>
      </c>
      <c r="FT136" s="65">
        <f t="shared" si="103"/>
        <v>0</v>
      </c>
      <c r="FU136" s="65">
        <f t="shared" si="149"/>
        <v>0</v>
      </c>
      <c r="FV136" s="65">
        <f t="shared" si="168"/>
        <v>3770.7644480414056</v>
      </c>
      <c r="FW136" s="61">
        <f t="shared" si="169"/>
        <v>17797.431614471287</v>
      </c>
      <c r="FX136" s="61">
        <f>IF(AND(FJ136&lt;=$GF$88+$C$10,FV135&lt;=0,FN136&gt;0),(FJ136-$C$10+1)*AG136+$GF$80,FX135)</f>
        <v>73074.599999999977</v>
      </c>
      <c r="FY136" s="62">
        <f t="shared" si="170"/>
        <v>17.848610791209591</v>
      </c>
      <c r="FZ136" s="63">
        <f t="shared" si="104"/>
        <v>1078409.8031256346</v>
      </c>
      <c r="GA136" s="64">
        <f t="shared" si="105"/>
        <v>20568.5638589669</v>
      </c>
      <c r="GB136" s="64">
        <f t="shared" si="106"/>
        <v>411153.36742618663</v>
      </c>
      <c r="GC136" s="66">
        <f t="shared" si="150"/>
        <v>0</v>
      </c>
      <c r="GD136" s="64">
        <f t="shared" si="107"/>
        <v>1580.6039999999994</v>
      </c>
      <c r="GE136"/>
      <c r="GF136"/>
      <c r="GG136" s="74"/>
      <c r="GH136" s="74"/>
      <c r="GI136" s="28">
        <f t="shared" si="108"/>
        <v>2077</v>
      </c>
      <c r="GJ136" s="9">
        <f>IF($GX$88+$C$10&gt;=GI136,-AG136,IF(GI136=$GX$88+$C$10+1,$FB$93,0))</f>
        <v>0</v>
      </c>
      <c r="GK136" s="5">
        <f t="shared" si="109"/>
        <v>691318.77807009208</v>
      </c>
      <c r="GL136" s="5">
        <f t="shared" si="110"/>
        <v>10268731.882480668</v>
      </c>
      <c r="GM136" s="35">
        <f t="shared" si="171"/>
        <v>16114.156818969186</v>
      </c>
      <c r="GN136" s="4">
        <f t="shared" si="151"/>
        <v>11004785.262050612</v>
      </c>
      <c r="GO136" s="5">
        <f t="shared" si="111"/>
        <v>719939.22275097482</v>
      </c>
      <c r="GP136" s="5">
        <f t="shared" si="152"/>
        <v>5039.5745592568219</v>
      </c>
      <c r="GQ136" s="5">
        <f t="shared" si="112"/>
        <v>5039.5745592568219</v>
      </c>
      <c r="GR136" s="4">
        <f t="shared" si="153"/>
        <v>930.43145300279059</v>
      </c>
      <c r="GS136" s="7">
        <f t="shared" si="113"/>
        <v>72194.26538786359</v>
      </c>
      <c r="GT136" s="107" t="e">
        <f>IF($DG$62=0,EX136,IF(GI136-$C$10+1&lt;=$GF$98,0,#REF!-FX136))</f>
        <v>#REF!</v>
      </c>
      <c r="GU136"/>
      <c r="GV136"/>
      <c r="GW136"/>
      <c r="GX136"/>
      <c r="GY136" s="74"/>
      <c r="GZ136" s="74"/>
      <c r="HA136" s="74"/>
      <c r="HB136" s="74"/>
      <c r="HC136" s="74"/>
      <c r="HD136" s="74"/>
    </row>
    <row r="137" spans="2:212" ht="16.149999999999999" thickBot="1" x14ac:dyDescent="0.55000000000000004">
      <c r="B137" s="333"/>
      <c r="C137" s="75"/>
      <c r="D137" s="75"/>
      <c r="F137" s="75"/>
      <c r="G137" s="75"/>
      <c r="H137" s="75"/>
      <c r="I137" s="75"/>
      <c r="J137" s="75"/>
      <c r="K137" s="75"/>
      <c r="L137" s="75"/>
      <c r="M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AB137" s="117" t="str">
        <f t="shared" si="34"/>
        <v/>
      </c>
      <c r="AC137" s="117" t="str">
        <f t="shared" si="35"/>
        <v/>
      </c>
      <c r="AD137" s="299">
        <f>IF($C$20="NEIN",$C$21,IF($C$22="JA",'HISTORISCHE RENDITEN'!E61,'HISTORISCHE RENDITEN'!D61))</f>
        <v>0.18559999999999999</v>
      </c>
      <c r="AE137" s="129">
        <f t="shared" si="174"/>
        <v>85</v>
      </c>
      <c r="AF137" s="120">
        <f t="shared" si="154"/>
        <v>2078</v>
      </c>
      <c r="AG137" s="122">
        <f t="shared" si="123"/>
        <v>0</v>
      </c>
      <c r="AH137" s="124">
        <f t="shared" si="155"/>
        <v>430891.77838569693</v>
      </c>
      <c r="AI137" s="296">
        <f t="shared" si="114"/>
        <v>704916.14414075832</v>
      </c>
      <c r="AJ137" s="123">
        <f t="shared" si="67"/>
        <v>0</v>
      </c>
      <c r="AK137" s="124">
        <f t="shared" si="156"/>
        <v>835748.58049328311</v>
      </c>
      <c r="AL137" s="122">
        <f t="shared" si="124"/>
        <v>130832.43635252479</v>
      </c>
      <c r="AM137" s="122">
        <f>IF($C$25="Ausschütter",0,IF(AL137&gt;=0,(AI137+AJ137)*$C$48*0.7))</f>
        <v>345.40891062897157</v>
      </c>
      <c r="AN137" s="122">
        <f t="shared" si="125"/>
        <v>0</v>
      </c>
      <c r="AO137" s="122">
        <f t="shared" si="39"/>
        <v>345.40891062897157</v>
      </c>
      <c r="AP137" s="122">
        <f t="shared" si="69"/>
        <v>19616.483741736291</v>
      </c>
      <c r="AQ137" s="122">
        <f>IF($C$25="AUSSCHÜTTER",0,IF(AO137*$C$46*$C$49&lt;=$C$47,0,AO137*$C$46*$C$49))</f>
        <v>0</v>
      </c>
      <c r="AR137" s="122">
        <f>IF(AO136*$C$49&gt;$C$47,(AN137)*$C$49*$C$46,IF((AO136+AN137)*$C$49&gt;$C$47,((AO136+AN137)*$C$49-$C$47)*$C$46,0))</f>
        <v>0</v>
      </c>
      <c r="AS137" s="122">
        <f t="shared" si="70"/>
        <v>0</v>
      </c>
      <c r="AT137" s="122">
        <f t="shared" si="157"/>
        <v>430891.77838569693</v>
      </c>
      <c r="AU137" s="122">
        <f t="shared" si="115"/>
        <v>0</v>
      </c>
      <c r="AV137" s="122">
        <f t="shared" si="71"/>
        <v>835748.58049328311</v>
      </c>
      <c r="AW137" s="122">
        <f t="shared" si="158"/>
        <v>0</v>
      </c>
      <c r="AX137" s="130">
        <f t="shared" si="159"/>
        <v>0</v>
      </c>
      <c r="AY137" s="82">
        <f>IF(AF137&lt;$C$11,$C$15*(1+$C$19)^(AF137-$C$10),0)</f>
        <v>0</v>
      </c>
      <c r="AZ137" s="82">
        <f>$C$14*(1+$C$37)^(AF137-$C$10)</f>
        <v>73541.559040567037</v>
      </c>
      <c r="BA137" s="165">
        <f>IF(AF137&lt;$C$11,0,MAX($C$38*AI137,AZ137))</f>
        <v>73541.559040567037</v>
      </c>
      <c r="BB137" s="82">
        <f>IF(AF137&lt;$C$11,0,MAX($C$38*AI137,AZ137))</f>
        <v>73541.559040567037</v>
      </c>
      <c r="BC137" s="136">
        <f>IF($C$39="JA",CT137,DG137)</f>
        <v>19396.586196949556</v>
      </c>
      <c r="BD137" s="82">
        <f t="shared" si="126"/>
        <v>0</v>
      </c>
      <c r="BE137" s="82">
        <f>IF(AF137&lt;($C$8+$C$30),0,$C$29*12*(1-$C$31))</f>
        <v>0</v>
      </c>
      <c r="BF137" s="82">
        <f>IF(AF137&lt;($C$8+$C$34),0,$C$33*12*(1-$C$35))</f>
        <v>0</v>
      </c>
      <c r="BG137" s="82">
        <f>IF(AF137&lt;$C$11,0,IF(AI137&lt;0,$C$42*(1+$C$44)^(AF137-$C$10),IF(((AL137+BE137+BF137)*$C$41)&lt;$C$42*(1+$C$44)^(AF137-$C$10),$C$42*(1+$C$44)^(AF137-$C$10),IF(((AL137+BE137+BF137)*$C$41)&lt;$C$43*(1+$C$44)^(AF137-$C$10),(AL137+BE137+BF137)*$C$41,IF(((AL137+BE137+BF137+BB137)*$C$41)&lt;$C$43*(1+$C$44)^(AF137-$C$10),((AL137+BE137+BF137+BB137)*$C$41),$C$43*(1+$C$44)^(AF137-$C$10))))))</f>
        <v>24858.162906979709</v>
      </c>
      <c r="BH137" s="82">
        <f t="shared" si="72"/>
        <v>117796.3081444963</v>
      </c>
      <c r="BI137" s="242">
        <f t="shared" si="73"/>
        <v>835748.58049328311</v>
      </c>
      <c r="BJ137" s="217">
        <f t="shared" si="74"/>
        <v>717952.27234878682</v>
      </c>
      <c r="BK137" s="118"/>
      <c r="BL137" s="219">
        <f t="shared" si="127"/>
        <v>41</v>
      </c>
      <c r="BM137" s="220">
        <f t="shared" si="128"/>
        <v>58</v>
      </c>
      <c r="BN137" s="220">
        <f t="shared" si="173"/>
        <v>0</v>
      </c>
      <c r="BO137" s="221">
        <f t="shared" si="129"/>
        <v>0</v>
      </c>
      <c r="BP137" s="221">
        <f t="shared" si="130"/>
        <v>0</v>
      </c>
      <c r="BQ137" s="222">
        <f t="shared" si="9"/>
        <v>0</v>
      </c>
      <c r="BR137" s="223">
        <f>IF(BM137&lt;$C$11-$C$10+1,0,IF(BL137&lt;=$C$13,VLOOKUP(BL137,$BN$80:$BQ$156,2,FALSE)-BS137,0))</f>
        <v>0</v>
      </c>
      <c r="BS137" s="223">
        <f>IF(BM137&lt;$C$11-$C$10+1,0,IF(BL137&lt;=$C$13,VLOOKUP(BL137,$BN$80:$BQ$156,3,FALSE),0))</f>
        <v>0</v>
      </c>
      <c r="BT137" s="222">
        <f>IF(BM137&lt;$C$11-$C$10+1,0,IF(BL137&lt;=$C$13,VLOOKUP(BL137,$BN$80:$BQ$156,4,FALSE),0))</f>
        <v>0</v>
      </c>
      <c r="BU137" s="223">
        <f t="shared" si="160"/>
        <v>0</v>
      </c>
      <c r="BV137" s="223">
        <f t="shared" si="161"/>
        <v>0</v>
      </c>
      <c r="BW137" s="223">
        <f t="shared" si="118"/>
        <v>0</v>
      </c>
      <c r="BX137" s="223">
        <f>IF(AND(BS137&lt;=0,BN137=0),MIN((MAX($BZ$80:$BZ$156)-SUM($BX$80:BX136)),CA137),IF(BS137&lt;CA137,BS137,CA137))</f>
        <v>0</v>
      </c>
      <c r="BY137" s="222">
        <f>IF(BN137&gt;0,0,IF(AND(BN137=0,BT137&lt;=0),100%,((BW136*(AVERAGE($BT$80:BT136))+(BR137*BT137))/(BR137+BW136+BS137+BV136))))</f>
        <v>1</v>
      </c>
      <c r="BZ137" s="139">
        <f t="shared" si="162"/>
        <v>430891.77838569693</v>
      </c>
      <c r="CA137" s="122">
        <f t="shared" si="131"/>
        <v>73541.559040567037</v>
      </c>
      <c r="CB137" s="181">
        <f t="shared" si="47"/>
        <v>1</v>
      </c>
      <c r="CC137" s="122">
        <f t="shared" si="48"/>
        <v>2107446.4700858793</v>
      </c>
      <c r="CD137" s="182">
        <f t="shared" si="119"/>
        <v>0</v>
      </c>
      <c r="CE137" s="122">
        <f t="shared" si="75"/>
        <v>430891.77838569693</v>
      </c>
      <c r="CF137" s="122">
        <f t="shared" si="76"/>
        <v>0</v>
      </c>
      <c r="CG137" s="122" t="str">
        <f t="shared" si="132"/>
        <v/>
      </c>
      <c r="CH137" s="140">
        <f t="shared" si="133"/>
        <v>1</v>
      </c>
      <c r="CI137" s="142">
        <f t="shared" si="77"/>
        <v>9984</v>
      </c>
      <c r="CJ137" s="134">
        <f>CI137*$C$57</f>
        <v>0</v>
      </c>
      <c r="CK137" s="142">
        <f t="shared" si="78"/>
        <v>14926</v>
      </c>
      <c r="CL137" s="134">
        <f>CK137*$C$57</f>
        <v>0</v>
      </c>
      <c r="CM137" s="142">
        <f t="shared" si="79"/>
        <v>58596</v>
      </c>
      <c r="CN137" s="134">
        <f>CM137*$C$57</f>
        <v>0</v>
      </c>
      <c r="CO137" s="132">
        <f t="shared" si="117"/>
        <v>73541.559040567037</v>
      </c>
      <c r="CP137" s="140">
        <f t="shared" si="134"/>
        <v>0.42</v>
      </c>
      <c r="CQ137" s="121" t="str">
        <f>IF($C$50="NEIN","NEIN",IF(CS137&lt;CR137,"JA","NEIN"))</f>
        <v>NEIN</v>
      </c>
      <c r="CR137" s="121">
        <f>CO137*$C$46</f>
        <v>19396.586196949556</v>
      </c>
      <c r="CS137" s="121">
        <f t="shared" si="135"/>
        <v>21619.924797038155</v>
      </c>
      <c r="CT137" s="201">
        <f>IF($C$50="NEIN",CR137,IF(CQ137="NEIN",CR137,CS137))</f>
        <v>19396.586196949556</v>
      </c>
      <c r="CU137" s="149"/>
      <c r="CV137" s="202">
        <f t="shared" si="80"/>
        <v>9984</v>
      </c>
      <c r="CW137" s="134">
        <f>CV137*$C$57</f>
        <v>0</v>
      </c>
      <c r="CX137" s="142">
        <f t="shared" si="81"/>
        <v>14926</v>
      </c>
      <c r="CY137" s="134">
        <f>CX137*$C$57</f>
        <v>0</v>
      </c>
      <c r="CZ137" s="142">
        <f t="shared" si="82"/>
        <v>58596</v>
      </c>
      <c r="DA137" s="143">
        <f>CZ137*$C$57</f>
        <v>0</v>
      </c>
      <c r="DB137" s="165">
        <f t="shared" si="120"/>
        <v>73541.559040567037</v>
      </c>
      <c r="DC137" s="140">
        <f t="shared" si="136"/>
        <v>0.42</v>
      </c>
      <c r="DD137" s="121" t="str">
        <f>IF($C$50="NEIN","NEIN",IF(DF137&lt;DE137,"JA","NEIN"))</f>
        <v>NEIN</v>
      </c>
      <c r="DE137" s="121">
        <f>DB137*$C$46</f>
        <v>19396.586196949556</v>
      </c>
      <c r="DF137" s="121">
        <f t="shared" si="137"/>
        <v>21619.924797038155</v>
      </c>
      <c r="DG137" s="201">
        <f>IF($C$50="NEIN",DE137,IF(DD137="NEIN",DE137,DF137))</f>
        <v>19396.586196949556</v>
      </c>
      <c r="DH137" s="159"/>
      <c r="DI137" s="74"/>
      <c r="DJ137" s="74"/>
      <c r="DK137" s="128"/>
      <c r="DL137" s="128"/>
      <c r="DM137" s="128"/>
      <c r="DN137" s="74"/>
      <c r="DO137" s="28">
        <f t="shared" si="83"/>
        <v>2078</v>
      </c>
      <c r="DP137" s="17">
        <f>IF($C$13+$C$10&gt;=DO137,-AG137,IF(DO137=$C$13+$C$10+1,$EK$93,0))</f>
        <v>0</v>
      </c>
      <c r="DQ137" s="17">
        <f t="shared" si="84"/>
        <v>3074150.0197496405</v>
      </c>
      <c r="DR137" s="17">
        <f t="shared" si="85"/>
        <v>10232639.058207419</v>
      </c>
      <c r="DS137" s="17">
        <f t="shared" si="163"/>
        <v>170485.51011909949</v>
      </c>
      <c r="DT137" s="17">
        <f t="shared" si="138"/>
        <v>11131343.288109375</v>
      </c>
      <c r="DU137" s="17">
        <f t="shared" si="86"/>
        <v>728218.71978285722</v>
      </c>
      <c r="DV137" s="33">
        <f t="shared" si="139"/>
        <v>5097.5310384799932</v>
      </c>
      <c r="DW137" s="32">
        <f t="shared" si="140"/>
        <v>222626.86576218752</v>
      </c>
      <c r="DX137" s="17">
        <f t="shared" si="87"/>
        <v>0</v>
      </c>
      <c r="DY137" s="17">
        <f t="shared" si="88"/>
        <v>0</v>
      </c>
      <c r="DZ137" s="17">
        <f t="shared" si="141"/>
        <v>0</v>
      </c>
      <c r="EA137" s="17">
        <f t="shared" si="164"/>
        <v>40891.221341343866</v>
      </c>
      <c r="EB137" s="15">
        <f t="shared" si="165"/>
        <v>181735.64442084366</v>
      </c>
      <c r="EC137" s="15">
        <f>IF(DP137=0,EC136,IF(DO137&lt;=$EK$88+$C$10,ABS(DP137)+EC136,EC136))</f>
        <v>430891.77838569693</v>
      </c>
      <c r="ED137" s="15">
        <f t="shared" si="89"/>
        <v>624794.61247832736</v>
      </c>
      <c r="EE137" s="16">
        <f t="shared" si="90"/>
        <v>11131343.288109375</v>
      </c>
      <c r="EF137" s="15">
        <f t="shared" si="142"/>
        <v>170485.51011909949</v>
      </c>
      <c r="EG137" s="15">
        <f t="shared" si="91"/>
        <v>2643258.2413639436</v>
      </c>
      <c r="EH137" s="16"/>
      <c r="EI137" s="16"/>
      <c r="EJ137"/>
      <c r="EK137"/>
      <c r="EL137"/>
      <c r="EM137" s="28">
        <f t="shared" si="92"/>
        <v>2078</v>
      </c>
      <c r="EN137" s="29">
        <f>IF($C$13+$C$10&gt;=EM137,-(AG137),IF(EM137=$C$13+$C$10+1,$FB$93,0))</f>
        <v>0</v>
      </c>
      <c r="EO137" s="30">
        <f t="shared" si="93"/>
        <v>427093.43683663738</v>
      </c>
      <c r="EP137" s="30">
        <f t="shared" si="94"/>
        <v>12394047.639279623</v>
      </c>
      <c r="EQ137" s="30">
        <f t="shared" si="166"/>
        <v>-1047.890665651383</v>
      </c>
      <c r="ER137" s="25">
        <f t="shared" si="143"/>
        <v>13260509.731016949</v>
      </c>
      <c r="ES137" s="30">
        <f t="shared" si="95"/>
        <v>867509.98240297846</v>
      </c>
      <c r="ET137" s="26">
        <f t="shared" si="144"/>
        <v>6072.5698768208449</v>
      </c>
      <c r="EU137" s="30">
        <f t="shared" si="96"/>
        <v>6072.5698768208449</v>
      </c>
      <c r="EV137" s="25">
        <f t="shared" si="145"/>
        <v>1121.1482135080482</v>
      </c>
      <c r="EW137" s="31">
        <f t="shared" si="97"/>
        <v>89833.914059262082</v>
      </c>
      <c r="EX137" s="27">
        <f>IF(EM137=0,EX136,IF(EM137&lt;=$FB$88+$C$10,ABS(EN137)+EX136,EX136))</f>
        <v>430891.77838569693</v>
      </c>
      <c r="EY137" s="15"/>
      <c r="EZ137"/>
      <c r="FA137"/>
      <c r="FB137"/>
      <c r="FC137" s="74"/>
      <c r="FD137" s="74"/>
      <c r="FE137" s="74"/>
      <c r="FF137" s="74"/>
      <c r="FG137" s="74"/>
      <c r="FH137" s="74"/>
      <c r="FI137" s="74"/>
      <c r="FJ137" s="28">
        <f t="shared" si="98"/>
        <v>2078</v>
      </c>
      <c r="FK137" s="65">
        <f>IF($C$13+$C$10&gt;=FJ137,-AG137,IF(FJ137=$C$13+$C$10+1,$EK$93,0))</f>
        <v>0</v>
      </c>
      <c r="FL137" s="65">
        <f t="shared" si="99"/>
        <v>74118.803999999975</v>
      </c>
      <c r="FM137" s="65">
        <f t="shared" si="100"/>
        <v>1056841.6070631219</v>
      </c>
      <c r="FN137" s="65">
        <f t="shared" si="167"/>
        <v>0</v>
      </c>
      <c r="FO137" s="65">
        <f t="shared" si="146"/>
        <v>1130820.5195575405</v>
      </c>
      <c r="FP137" s="65">
        <f t="shared" si="101"/>
        <v>73978.912494418677</v>
      </c>
      <c r="FQ137" s="59">
        <f t="shared" si="147"/>
        <v>517.85238746092966</v>
      </c>
      <c r="FR137" s="60">
        <f t="shared" si="148"/>
        <v>22616.41039115081</v>
      </c>
      <c r="FS137" s="65">
        <f t="shared" si="102"/>
        <v>0</v>
      </c>
      <c r="FT137" s="65">
        <f t="shared" si="103"/>
        <v>0</v>
      </c>
      <c r="FU137" s="65">
        <f t="shared" si="149"/>
        <v>0</v>
      </c>
      <c r="FV137" s="65">
        <f t="shared" si="168"/>
        <v>3964.2910184662178</v>
      </c>
      <c r="FW137" s="61">
        <f t="shared" si="169"/>
        <v>18652.119372684592</v>
      </c>
      <c r="FX137" s="61">
        <f>IF(AND(FJ137&lt;=$GF$88+$C$10,FV136&lt;=0,FN137&gt;0),(FJ137-$C$10+1)*AG137+$GF$80,FX136)</f>
        <v>73074.599999999977</v>
      </c>
      <c r="FY137" s="62">
        <f t="shared" si="170"/>
        <v>18.764653275662379</v>
      </c>
      <c r="FZ137" s="63">
        <f t="shared" si="104"/>
        <v>1130820.5195575405</v>
      </c>
      <c r="GA137" s="64">
        <f t="shared" si="105"/>
        <v>21568.196062512692</v>
      </c>
      <c r="GB137" s="64">
        <f t="shared" si="106"/>
        <v>432721.56348869932</v>
      </c>
      <c r="GC137" s="66">
        <f t="shared" si="150"/>
        <v>0</v>
      </c>
      <c r="GD137" s="64">
        <f t="shared" si="107"/>
        <v>1580.6039999999994</v>
      </c>
      <c r="GE137"/>
      <c r="GF137"/>
      <c r="GG137" s="74"/>
      <c r="GH137" s="74"/>
      <c r="GI137" s="28">
        <f t="shared" si="108"/>
        <v>2078</v>
      </c>
      <c r="GJ137" s="9">
        <f>IF($GX$88+$C$10&gt;=GI137,-AG137,IF(GI137=$GX$88+$C$10+1,$FB$93,0))</f>
        <v>0</v>
      </c>
      <c r="GK137" s="5">
        <f t="shared" si="109"/>
        <v>708185.7782315606</v>
      </c>
      <c r="GL137" s="5">
        <f t="shared" si="110"/>
        <v>11004785.262050612</v>
      </c>
      <c r="GM137" s="35">
        <f t="shared" si="171"/>
        <v>16867.000161468495</v>
      </c>
      <c r="GN137" s="4">
        <f t="shared" si="151"/>
        <v>11793167.920566928</v>
      </c>
      <c r="GO137" s="5">
        <f t="shared" si="111"/>
        <v>771515.65835484676</v>
      </c>
      <c r="GP137" s="5">
        <f t="shared" si="152"/>
        <v>5400.6096084839191</v>
      </c>
      <c r="GQ137" s="5">
        <f t="shared" si="112"/>
        <v>5400.6096084839191</v>
      </c>
      <c r="GR137" s="4">
        <f t="shared" si="153"/>
        <v>997.08754896634343</v>
      </c>
      <c r="GS137" s="7">
        <f t="shared" si="113"/>
        <v>77594.874996347513</v>
      </c>
      <c r="GT137" s="107" t="e">
        <f>IF($DG$62=0,EX137,IF(GI137-$C$10+1&lt;=$GF$98,0,#REF!-FX137))</f>
        <v>#REF!</v>
      </c>
      <c r="GU137"/>
      <c r="GV137"/>
      <c r="GW137"/>
      <c r="GX137"/>
      <c r="GY137" s="74"/>
      <c r="GZ137" s="74"/>
      <c r="HA137" s="74"/>
      <c r="HB137" s="74"/>
      <c r="HC137" s="74"/>
      <c r="HD137" s="74"/>
    </row>
    <row r="138" spans="2:212" ht="16.149999999999999" thickBot="1" x14ac:dyDescent="0.55000000000000004">
      <c r="B138" s="333"/>
      <c r="C138" s="75"/>
      <c r="D138" s="75"/>
      <c r="F138" s="75"/>
      <c r="G138" s="75"/>
      <c r="H138" s="75"/>
      <c r="I138" s="75"/>
      <c r="J138" s="75"/>
      <c r="K138" s="75"/>
      <c r="L138" s="75"/>
      <c r="M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AB138" s="117" t="str">
        <f t="shared" si="34"/>
        <v/>
      </c>
      <c r="AC138" s="117" t="str">
        <f t="shared" si="35"/>
        <v/>
      </c>
      <c r="AD138" s="299">
        <f>IF($C$20="NEIN",$C$21,IF($C$22="JA",'HISTORISCHE RENDITEN'!E62,'HISTORISCHE RENDITEN'!D62))</f>
        <v>1.77E-2</v>
      </c>
      <c r="AE138" s="129">
        <f t="shared" si="174"/>
        <v>86</v>
      </c>
      <c r="AF138" s="120">
        <f t="shared" si="154"/>
        <v>2079</v>
      </c>
      <c r="AG138" s="122">
        <f t="shared" si="123"/>
        <v>0</v>
      </c>
      <c r="AH138" s="124">
        <f t="shared" si="155"/>
        <v>430891.77838569693</v>
      </c>
      <c r="AI138" s="296">
        <f t="shared" si="114"/>
        <v>717952.27234878682</v>
      </c>
      <c r="AJ138" s="123">
        <f t="shared" si="67"/>
        <v>0</v>
      </c>
      <c r="AK138" s="124">
        <f t="shared" si="156"/>
        <v>730660.02756936033</v>
      </c>
      <c r="AL138" s="122">
        <f t="shared" si="124"/>
        <v>12707.755220573512</v>
      </c>
      <c r="AM138" s="122">
        <f>IF($C$25="Ausschütter",0,IF(AL138&gt;=0,(AI138+AJ138)*$C$48*0.7))</f>
        <v>351.79661345090551</v>
      </c>
      <c r="AN138" s="122">
        <f t="shared" si="125"/>
        <v>0</v>
      </c>
      <c r="AO138" s="122">
        <f t="shared" si="39"/>
        <v>351.79661345090551</v>
      </c>
      <c r="AP138" s="122">
        <f t="shared" si="69"/>
        <v>19968.280355187195</v>
      </c>
      <c r="AQ138" s="122">
        <f>IF($C$25="AUSSCHÜTTER",0,IF(AO138*$C$46*$C$49&lt;=$C$47,0,AO138*$C$46*$C$49))</f>
        <v>0</v>
      </c>
      <c r="AR138" s="122">
        <f>IF(AO137*$C$49&gt;$C$47,(AN138)*$C$49*$C$46,IF((AO137+AN138)*$C$49&gt;$C$47,((AO137+AN138)*$C$49-$C$47)*$C$46,0))</f>
        <v>0</v>
      </c>
      <c r="AS138" s="122">
        <f t="shared" si="70"/>
        <v>0</v>
      </c>
      <c r="AT138" s="122">
        <f t="shared" si="157"/>
        <v>430891.77838569693</v>
      </c>
      <c r="AU138" s="122">
        <f t="shared" si="115"/>
        <v>0</v>
      </c>
      <c r="AV138" s="122">
        <f t="shared" si="71"/>
        <v>730660.02756936033</v>
      </c>
      <c r="AW138" s="122">
        <f t="shared" si="158"/>
        <v>0</v>
      </c>
      <c r="AX138" s="130">
        <f t="shared" si="159"/>
        <v>0</v>
      </c>
      <c r="AY138" s="82">
        <f>IF(AF138&lt;$C$11,$C$15*(1+$C$19)^(AF138-$C$10),0)</f>
        <v>0</v>
      </c>
      <c r="AZ138" s="82">
        <f>$C$14*(1+$C$37)^(AF138-$C$10)</f>
        <v>75380.098016581207</v>
      </c>
      <c r="BA138" s="165">
        <f>IF(AF138&lt;$C$11,0,MAX($C$38*AI138,AZ138))</f>
        <v>75380.098016581207</v>
      </c>
      <c r="BB138" s="82">
        <f>IF(AF138&lt;$C$11,0,MAX($C$38*AI138,AZ138))</f>
        <v>75380.098016581207</v>
      </c>
      <c r="BC138" s="136">
        <f>IF($C$39="JA",CT138,DG138)</f>
        <v>19881.500851873294</v>
      </c>
      <c r="BD138" s="82">
        <f t="shared" si="126"/>
        <v>0</v>
      </c>
      <c r="BE138" s="82">
        <f>IF(AF138&lt;($C$8+$C$30),0,$C$29*12*(1-$C$31))</f>
        <v>0</v>
      </c>
      <c r="BF138" s="82">
        <f>IF(AF138&lt;($C$8+$C$34),0,$C$33*12*(1-$C$35))</f>
        <v>0</v>
      </c>
      <c r="BG138" s="82">
        <f>IF(AF138&lt;$C$11,0,IF(AI138&lt;0,$C$42*(1+$C$44)^(AF138-$C$10),IF(((AL138+BE138+BF138)*$C$41)&lt;$C$42*(1+$C$44)^(AF138-$C$10),$C$42*(1+$C$44)^(AF138-$C$10),IF(((AL138+BE138+BF138)*$C$41)&lt;$C$43*(1+$C$44)^(AF138-$C$10),(AL138+BE138+BF138)*$C$41,IF(((AL138+BE138+BF138+BB138)*$C$41)&lt;$C$43*(1+$C$44)^(AF138-$C$10),((AL138+BE138+BF138+BB138)*$C$41),$C$43*(1+$C$44)^(AF138-$C$10))))))</f>
        <v>5691.6959515206245</v>
      </c>
      <c r="BH138" s="82">
        <f t="shared" si="72"/>
        <v>100953.29481997513</v>
      </c>
      <c r="BI138" s="242">
        <f t="shared" si="73"/>
        <v>730660.02756936033</v>
      </c>
      <c r="BJ138" s="217">
        <f t="shared" si="74"/>
        <v>629706.73274938518</v>
      </c>
      <c r="BK138" s="118"/>
      <c r="BL138" s="219">
        <f t="shared" si="127"/>
        <v>42</v>
      </c>
      <c r="BM138" s="220">
        <f t="shared" si="128"/>
        <v>59</v>
      </c>
      <c r="BN138" s="220">
        <f t="shared" si="173"/>
        <v>0</v>
      </c>
      <c r="BO138" s="221">
        <f t="shared" si="129"/>
        <v>0</v>
      </c>
      <c r="BP138" s="221">
        <f t="shared" si="130"/>
        <v>0</v>
      </c>
      <c r="BQ138" s="222">
        <f t="shared" si="9"/>
        <v>0</v>
      </c>
      <c r="BR138" s="223">
        <f>IF(BM138&lt;$C$11-$C$10+1,0,IF(BL138&lt;=$C$13,VLOOKUP(BL138,$BN$80:$BQ$156,2,FALSE)-BS138,0))</f>
        <v>0</v>
      </c>
      <c r="BS138" s="223">
        <f>IF(BM138&lt;$C$11-$C$10+1,0,IF(BL138&lt;=$C$13,VLOOKUP(BL138,$BN$80:$BQ$156,3,FALSE),0))</f>
        <v>0</v>
      </c>
      <c r="BT138" s="222">
        <f>IF(BM138&lt;$C$11-$C$10+1,0,IF(BL138&lt;=$C$13,VLOOKUP(BL138,$BN$80:$BQ$156,4,FALSE),0))</f>
        <v>0</v>
      </c>
      <c r="BU138" s="223">
        <f t="shared" si="160"/>
        <v>0</v>
      </c>
      <c r="BV138" s="223">
        <f t="shared" si="161"/>
        <v>0</v>
      </c>
      <c r="BW138" s="223">
        <f t="shared" si="118"/>
        <v>0</v>
      </c>
      <c r="BX138" s="223">
        <f>IF(AND(BS138&lt;=0,BN138=0),MIN((MAX($BZ$80:$BZ$156)-SUM($BX$80:BX137)),CA138),IF(BS138&lt;CA138,BS138,CA138))</f>
        <v>0</v>
      </c>
      <c r="BY138" s="222">
        <f>IF(BN138&gt;0,0,IF(AND(BN138=0,BT138&lt;=0),100%,((BW137*(AVERAGE($BT$80:BT137))+(BR138*BT138))/(BR138+BW137+BS138+BV137))))</f>
        <v>1</v>
      </c>
      <c r="BZ138" s="139">
        <f t="shared" si="162"/>
        <v>430891.77838569693</v>
      </c>
      <c r="CA138" s="122">
        <f t="shared" si="131"/>
        <v>75380.098016581207</v>
      </c>
      <c r="CB138" s="181">
        <f t="shared" si="47"/>
        <v>1</v>
      </c>
      <c r="CC138" s="122">
        <f t="shared" si="48"/>
        <v>2182826.5681024604</v>
      </c>
      <c r="CD138" s="182">
        <f t="shared" si="119"/>
        <v>0</v>
      </c>
      <c r="CE138" s="122">
        <f t="shared" si="75"/>
        <v>430891.77838569693</v>
      </c>
      <c r="CF138" s="122">
        <f t="shared" si="76"/>
        <v>0</v>
      </c>
      <c r="CG138" s="122" t="str">
        <f t="shared" si="132"/>
        <v/>
      </c>
      <c r="CH138" s="140">
        <f t="shared" si="133"/>
        <v>1</v>
      </c>
      <c r="CI138" s="142">
        <f t="shared" si="77"/>
        <v>9984</v>
      </c>
      <c r="CJ138" s="134">
        <f>CI138*$C$57</f>
        <v>0</v>
      </c>
      <c r="CK138" s="142">
        <f t="shared" si="78"/>
        <v>14926</v>
      </c>
      <c r="CL138" s="134">
        <f>CK138*$C$57</f>
        <v>0</v>
      </c>
      <c r="CM138" s="142">
        <f t="shared" si="79"/>
        <v>58596</v>
      </c>
      <c r="CN138" s="134">
        <f>CM138*$C$57</f>
        <v>0</v>
      </c>
      <c r="CO138" s="132">
        <f t="shared" si="117"/>
        <v>75380.098016581207</v>
      </c>
      <c r="CP138" s="140">
        <f t="shared" si="134"/>
        <v>0.42</v>
      </c>
      <c r="CQ138" s="121" t="str">
        <f>IF($C$50="NEIN","NEIN",IF(CS138&lt;CR138,"JA","NEIN"))</f>
        <v>NEIN</v>
      </c>
      <c r="CR138" s="121">
        <f>CO138*$C$46</f>
        <v>19881.500851873294</v>
      </c>
      <c r="CS138" s="121">
        <f t="shared" si="135"/>
        <v>22392.111166964103</v>
      </c>
      <c r="CT138" s="201">
        <f>IF($C$50="NEIN",CR138,IF(CQ138="NEIN",CR138,CS138))</f>
        <v>19881.500851873294</v>
      </c>
      <c r="CU138" s="149"/>
      <c r="CV138" s="202">
        <f t="shared" si="80"/>
        <v>9984</v>
      </c>
      <c r="CW138" s="134">
        <f>CV138*$C$57</f>
        <v>0</v>
      </c>
      <c r="CX138" s="142">
        <f t="shared" si="81"/>
        <v>14926</v>
      </c>
      <c r="CY138" s="134">
        <f>CX138*$C$57</f>
        <v>0</v>
      </c>
      <c r="CZ138" s="142">
        <f t="shared" si="82"/>
        <v>58596</v>
      </c>
      <c r="DA138" s="143">
        <f>CZ138*$C$57</f>
        <v>0</v>
      </c>
      <c r="DB138" s="165">
        <f t="shared" si="120"/>
        <v>75380.098016581207</v>
      </c>
      <c r="DC138" s="140">
        <f t="shared" si="136"/>
        <v>0.42</v>
      </c>
      <c r="DD138" s="121" t="str">
        <f>IF($C$50="NEIN","NEIN",IF(DF138&lt;DE138,"JA","NEIN"))</f>
        <v>NEIN</v>
      </c>
      <c r="DE138" s="121">
        <f>DB138*$C$46</f>
        <v>19881.500851873294</v>
      </c>
      <c r="DF138" s="121">
        <f t="shared" si="137"/>
        <v>22392.111166964103</v>
      </c>
      <c r="DG138" s="201">
        <f>IF($C$50="NEIN",DE138,IF(DD138="NEIN",DE138,DF138))</f>
        <v>19881.500851873294</v>
      </c>
      <c r="DH138" s="159"/>
      <c r="DI138" s="74"/>
      <c r="DJ138" s="74"/>
      <c r="DK138" s="128"/>
      <c r="DL138" s="128"/>
      <c r="DM138" s="128"/>
      <c r="DN138" s="74"/>
      <c r="DO138" s="28">
        <f t="shared" si="83"/>
        <v>2079</v>
      </c>
      <c r="DP138" s="17">
        <f>IF($C$13+$C$10&gt;=DO138,-AG138,IF(DO138=$C$13+$C$10+1,$EK$93,0))</f>
        <v>0</v>
      </c>
      <c r="DQ138" s="17">
        <f t="shared" si="84"/>
        <v>3255885.6641704841</v>
      </c>
      <c r="DR138" s="17">
        <f t="shared" si="85"/>
        <v>10908716.422347188</v>
      </c>
      <c r="DS138" s="17">
        <f t="shared" si="163"/>
        <v>181735.64442084366</v>
      </c>
      <c r="DT138" s="17">
        <f t="shared" si="138"/>
        <v>11866783.711441794</v>
      </c>
      <c r="DU138" s="17">
        <f t="shared" si="86"/>
        <v>776331.64467376284</v>
      </c>
      <c r="DV138" s="33">
        <f t="shared" si="139"/>
        <v>5434.3215127163348</v>
      </c>
      <c r="DW138" s="32">
        <f t="shared" si="140"/>
        <v>237335.67422883588</v>
      </c>
      <c r="DX138" s="17">
        <f t="shared" si="87"/>
        <v>0</v>
      </c>
      <c r="DY138" s="17">
        <f t="shared" si="88"/>
        <v>0</v>
      </c>
      <c r="DZ138" s="17">
        <f t="shared" si="141"/>
        <v>0</v>
      </c>
      <c r="EA138" s="17">
        <f t="shared" si="164"/>
        <v>43606.835104498816</v>
      </c>
      <c r="EB138" s="15">
        <f t="shared" si="165"/>
        <v>193728.83912433707</v>
      </c>
      <c r="EC138" s="15">
        <f>IF(DP138=0,EC137,IF(DO138&lt;=$EK$88+$C$10,ABS(DP138)+EC137,EC137))</f>
        <v>430891.77838569693</v>
      </c>
      <c r="ED138" s="15">
        <f t="shared" si="89"/>
        <v>668401.44758282613</v>
      </c>
      <c r="EE138" s="16">
        <f t="shared" si="90"/>
        <v>11866783.711441794</v>
      </c>
      <c r="EF138" s="15">
        <f t="shared" si="142"/>
        <v>181735.64442084366</v>
      </c>
      <c r="EG138" s="15">
        <f t="shared" si="91"/>
        <v>2824993.8857847871</v>
      </c>
      <c r="EH138" s="16"/>
      <c r="EI138" s="16"/>
      <c r="EJ138"/>
      <c r="EK138"/>
      <c r="EL138"/>
      <c r="EM138" s="28">
        <f t="shared" si="92"/>
        <v>2079</v>
      </c>
      <c r="EN138" s="29">
        <f>IF($C$13+$C$10&gt;=EM138,-(AG138),IF(EM138=$C$13+$C$10+1,$FB$93,0))</f>
        <v>0</v>
      </c>
      <c r="EO138" s="30">
        <f t="shared" si="93"/>
        <v>425972.28862312931</v>
      </c>
      <c r="EP138" s="30">
        <f t="shared" si="94"/>
        <v>13260509.731016949</v>
      </c>
      <c r="EQ138" s="30">
        <f t="shared" si="166"/>
        <v>-1121.1482135080482</v>
      </c>
      <c r="ER138" s="25">
        <f t="shared" si="143"/>
        <v>14187545.783599682</v>
      </c>
      <c r="ES138" s="30">
        <f t="shared" si="95"/>
        <v>928157.20079624094</v>
      </c>
      <c r="ET138" s="26">
        <f t="shared" si="144"/>
        <v>6497.1004055736848</v>
      </c>
      <c r="EU138" s="30">
        <f t="shared" si="96"/>
        <v>6497.1004055736848</v>
      </c>
      <c r="EV138" s="25">
        <f t="shared" si="145"/>
        <v>1199.5271623790413</v>
      </c>
      <c r="EW138" s="31">
        <f t="shared" si="97"/>
        <v>96331.014464835767</v>
      </c>
      <c r="EX138" s="27">
        <f>IF(EM138=0,EX137,IF(EM138&lt;=$FB$88+$C$10,ABS(EN138)+EX137,EX137))</f>
        <v>430891.77838569693</v>
      </c>
      <c r="EY138" s="15"/>
      <c r="EZ138"/>
      <c r="FA138"/>
      <c r="FB138"/>
      <c r="FC138" s="74"/>
      <c r="FD138" s="74"/>
      <c r="FE138" s="74"/>
      <c r="FF138" s="74"/>
      <c r="FG138" s="74"/>
      <c r="FH138" s="74"/>
      <c r="FI138" s="74"/>
      <c r="FJ138" s="28">
        <f t="shared" si="98"/>
        <v>2079</v>
      </c>
      <c r="FK138" s="65">
        <f>IF($C$13+$C$10&gt;=FJ138,-AG138,IF(FJ138=$C$13+$C$10+1,$EK$93,0))</f>
        <v>0</v>
      </c>
      <c r="FL138" s="65">
        <f t="shared" si="99"/>
        <v>74118.803999999975</v>
      </c>
      <c r="FM138" s="65">
        <f t="shared" si="100"/>
        <v>1108204.1091663898</v>
      </c>
      <c r="FN138" s="65">
        <f t="shared" si="167"/>
        <v>0</v>
      </c>
      <c r="FO138" s="65">
        <f t="shared" si="146"/>
        <v>1185778.3968080371</v>
      </c>
      <c r="FP138" s="65">
        <f t="shared" si="101"/>
        <v>77574.287641647272</v>
      </c>
      <c r="FQ138" s="59">
        <f t="shared" si="147"/>
        <v>543.02001349153102</v>
      </c>
      <c r="FR138" s="60">
        <f t="shared" si="148"/>
        <v>23715.567936160744</v>
      </c>
      <c r="FS138" s="65">
        <f t="shared" si="102"/>
        <v>0</v>
      </c>
      <c r="FT138" s="65">
        <f t="shared" si="103"/>
        <v>0</v>
      </c>
      <c r="FU138" s="65">
        <f t="shared" si="149"/>
        <v>0</v>
      </c>
      <c r="FV138" s="65">
        <f t="shared" si="168"/>
        <v>4167.2229802136771</v>
      </c>
      <c r="FW138" s="61">
        <f t="shared" si="169"/>
        <v>19548.344955947068</v>
      </c>
      <c r="FX138" s="61">
        <f>IF(AND(FJ138&lt;=$GF$88+$C$10,FV137&lt;=0,FN138&gt;0),(FJ138-$C$10+1)*AG138+$GF$80,FX137)</f>
        <v>73074.599999999977</v>
      </c>
      <c r="FY138" s="62">
        <f t="shared" si="170"/>
        <v>19.725215424859577</v>
      </c>
      <c r="FZ138" s="63">
        <f t="shared" si="104"/>
        <v>1185778.3968080371</v>
      </c>
      <c r="GA138" s="64">
        <f t="shared" si="105"/>
        <v>22616.41039115081</v>
      </c>
      <c r="GB138" s="64">
        <f t="shared" si="106"/>
        <v>455337.97387985012</v>
      </c>
      <c r="GC138" s="66">
        <f t="shared" si="150"/>
        <v>0</v>
      </c>
      <c r="GD138" s="64">
        <f t="shared" si="107"/>
        <v>1580.6039999999994</v>
      </c>
      <c r="GE138"/>
      <c r="GF138"/>
      <c r="GG138" s="74"/>
      <c r="GH138" s="74"/>
      <c r="GI138" s="28">
        <f t="shared" si="108"/>
        <v>2079</v>
      </c>
      <c r="GJ138" s="9">
        <f>IF($GX$88+$C$10&gt;=GI138,-AG138,IF(GI138=$GX$88+$C$10+1,$FB$93,0))</f>
        <v>0</v>
      </c>
      <c r="GK138" s="5">
        <f t="shared" si="109"/>
        <v>725840.81005527882</v>
      </c>
      <c r="GL138" s="5">
        <f t="shared" si="110"/>
        <v>11793167.920566928</v>
      </c>
      <c r="GM138" s="35">
        <f t="shared" si="171"/>
        <v>17655.031823718247</v>
      </c>
      <c r="GN138" s="4">
        <f t="shared" si="151"/>
        <v>12637580.559057992</v>
      </c>
      <c r="GO138" s="5">
        <f t="shared" si="111"/>
        <v>826757.60666734539</v>
      </c>
      <c r="GP138" s="5">
        <f t="shared" si="152"/>
        <v>5787.3032466714167</v>
      </c>
      <c r="GQ138" s="5">
        <f t="shared" si="112"/>
        <v>5787.3032466714167</v>
      </c>
      <c r="GR138" s="4">
        <f t="shared" si="153"/>
        <v>1068.4808619167102</v>
      </c>
      <c r="GS138" s="7">
        <f t="shared" si="113"/>
        <v>83382.178243018934</v>
      </c>
      <c r="GT138" s="107" t="e">
        <f>IF($DG$62=0,EX138,IF(GI138-$C$10+1&lt;=$GF$98,0,#REF!-FX138))</f>
        <v>#REF!</v>
      </c>
      <c r="GU138"/>
      <c r="GV138"/>
      <c r="GW138"/>
      <c r="GX138"/>
      <c r="GY138" s="74"/>
      <c r="GZ138" s="74"/>
      <c r="HA138" s="74"/>
      <c r="HB138" s="74"/>
      <c r="HC138" s="74"/>
      <c r="HD138" s="74"/>
    </row>
    <row r="139" spans="2:212" ht="16.149999999999999" thickBot="1" x14ac:dyDescent="0.55000000000000004">
      <c r="B139" s="333"/>
      <c r="C139" s="75"/>
      <c r="D139" s="75"/>
      <c r="F139" s="75"/>
      <c r="G139" s="75"/>
      <c r="H139" s="75"/>
      <c r="I139" s="75"/>
      <c r="J139" s="75"/>
      <c r="K139" s="75"/>
      <c r="L139" s="75"/>
      <c r="M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AB139" s="117" t="str">
        <f t="shared" si="34"/>
        <v/>
      </c>
      <c r="AC139" s="117" t="str">
        <f t="shared" si="35"/>
        <v/>
      </c>
      <c r="AD139" s="299">
        <f>IF($C$20="NEIN",$C$21,IF($C$22="JA",'HISTORISCHE RENDITEN'!E63,'HISTORISCHE RENDITEN'!D63))</f>
        <v>0.37020000000000003</v>
      </c>
      <c r="AE139" s="129">
        <f t="shared" si="174"/>
        <v>87</v>
      </c>
      <c r="AF139" s="120">
        <f t="shared" si="154"/>
        <v>2080</v>
      </c>
      <c r="AG139" s="122">
        <f t="shared" si="123"/>
        <v>0</v>
      </c>
      <c r="AH139" s="124">
        <f t="shared" si="155"/>
        <v>430891.77838569693</v>
      </c>
      <c r="AI139" s="296">
        <f t="shared" si="114"/>
        <v>629706.73274938518</v>
      </c>
      <c r="AJ139" s="123">
        <f t="shared" si="67"/>
        <v>0</v>
      </c>
      <c r="AK139" s="124">
        <f t="shared" si="156"/>
        <v>862824.1652132076</v>
      </c>
      <c r="AL139" s="122">
        <f t="shared" si="124"/>
        <v>233117.43246382242</v>
      </c>
      <c r="AM139" s="122">
        <f>IF($C$25="Ausschütter",0,IF(AL139&gt;=0,(AI139+AJ139)*$C$48*0.7))</f>
        <v>308.55629904719871</v>
      </c>
      <c r="AN139" s="122">
        <f t="shared" si="125"/>
        <v>0</v>
      </c>
      <c r="AO139" s="122">
        <f t="shared" si="39"/>
        <v>308.55629904719871</v>
      </c>
      <c r="AP139" s="122">
        <f t="shared" si="69"/>
        <v>20276.836654234394</v>
      </c>
      <c r="AQ139" s="122">
        <f>IF($C$25="AUSSCHÜTTER",0,IF(AO139*$C$46*$C$49&lt;=$C$47,0,AO139*$C$46*$C$49))</f>
        <v>0</v>
      </c>
      <c r="AR139" s="122">
        <f>IF(AO138*$C$49&gt;$C$47,(AN139)*$C$49*$C$46,IF((AO138+AN139)*$C$49&gt;$C$47,((AO138+AN139)*$C$49-$C$47)*$C$46,0))</f>
        <v>0</v>
      </c>
      <c r="AS139" s="122">
        <f t="shared" si="70"/>
        <v>0</v>
      </c>
      <c r="AT139" s="122">
        <f t="shared" si="157"/>
        <v>430891.77838569693</v>
      </c>
      <c r="AU139" s="122">
        <f t="shared" si="115"/>
        <v>0</v>
      </c>
      <c r="AV139" s="122">
        <f t="shared" si="71"/>
        <v>862824.1652132076</v>
      </c>
      <c r="AW139" s="122">
        <f t="shared" si="158"/>
        <v>0</v>
      </c>
      <c r="AX139" s="130">
        <f t="shared" si="159"/>
        <v>0</v>
      </c>
      <c r="AY139" s="82">
        <f>IF(AF139&lt;$C$11,$C$15*(1+$C$19)^(AF139-$C$10),0)</f>
        <v>0</v>
      </c>
      <c r="AZ139" s="82">
        <f>$C$14*(1+$C$37)^(AF139-$C$10)</f>
        <v>77264.600466995733</v>
      </c>
      <c r="BA139" s="165">
        <f>IF(AF139&lt;$C$11,0,MAX($C$38*AI139,AZ139))</f>
        <v>77264.600466995733</v>
      </c>
      <c r="BB139" s="82">
        <f>IF(AF139&lt;$C$11,0,MAX($C$38*AI139,AZ139))</f>
        <v>77264.600466995733</v>
      </c>
      <c r="BC139" s="136">
        <f>IF($C$39="JA",CT139,DG139)</f>
        <v>20378.538373170122</v>
      </c>
      <c r="BD139" s="82">
        <f t="shared" si="126"/>
        <v>0</v>
      </c>
      <c r="BE139" s="82">
        <f>IF(AF139&lt;($C$8+$C$30),0,$C$29*12*(1-$C$31))</f>
        <v>0</v>
      </c>
      <c r="BF139" s="82">
        <f>IF(AF139&lt;($C$8+$C$34),0,$C$33*12*(1-$C$35))</f>
        <v>0</v>
      </c>
      <c r="BG139" s="82">
        <f>IF(AF139&lt;$C$11,0,IF(AI139&lt;0,$C$42*(1+$C$44)^(AF139-$C$10),IF(((AL139+BE139+BF139)*$C$41)&lt;$C$42*(1+$C$44)^(AF139-$C$10),$C$42*(1+$C$44)^(AF139-$C$10),IF(((AL139+BE139+BF139)*$C$41)&lt;$C$43*(1+$C$44)^(AF139-$C$10),(AL139+BE139+BF139)*$C$41,IF(((AL139+BE139+BF139+BB139)*$C$41)&lt;$C$43*(1+$C$44)^(AF139-$C$10),((AL139+BE139+BF139+BB139)*$C$41),$C$43*(1+$C$44)^(AF139-$C$10))))))</f>
        <v>25996.821258570453</v>
      </c>
      <c r="BH139" s="82">
        <f t="shared" si="72"/>
        <v>123639.96009873631</v>
      </c>
      <c r="BI139" s="242">
        <f t="shared" si="73"/>
        <v>862824.1652132076</v>
      </c>
      <c r="BJ139" s="217">
        <f t="shared" si="74"/>
        <v>739184.20511447126</v>
      </c>
      <c r="BK139" s="118"/>
      <c r="BL139" s="219">
        <f t="shared" si="127"/>
        <v>43</v>
      </c>
      <c r="BM139" s="220">
        <f t="shared" si="128"/>
        <v>60</v>
      </c>
      <c r="BN139" s="220">
        <f t="shared" si="173"/>
        <v>0</v>
      </c>
      <c r="BO139" s="221">
        <f t="shared" si="129"/>
        <v>0</v>
      </c>
      <c r="BP139" s="221">
        <f t="shared" si="130"/>
        <v>0</v>
      </c>
      <c r="BQ139" s="222">
        <f t="shared" si="9"/>
        <v>0</v>
      </c>
      <c r="BR139" s="223">
        <f>IF(BM139&lt;$C$11-$C$10+1,0,IF(BL139&lt;=$C$13,VLOOKUP(BL139,$BN$80:$BQ$156,2,FALSE)-BS139,0))</f>
        <v>0</v>
      </c>
      <c r="BS139" s="223">
        <f>IF(BM139&lt;$C$11-$C$10+1,0,IF(BL139&lt;=$C$13,VLOOKUP(BL139,$BN$80:$BQ$156,3,FALSE),0))</f>
        <v>0</v>
      </c>
      <c r="BT139" s="222">
        <f>IF(BM139&lt;$C$11-$C$10+1,0,IF(BL139&lt;=$C$13,VLOOKUP(BL139,$BN$80:$BQ$156,4,FALSE),0))</f>
        <v>0</v>
      </c>
      <c r="BU139" s="223">
        <f t="shared" si="160"/>
        <v>0</v>
      </c>
      <c r="BV139" s="223">
        <f t="shared" si="161"/>
        <v>0</v>
      </c>
      <c r="BW139" s="223">
        <f t="shared" si="118"/>
        <v>0</v>
      </c>
      <c r="BX139" s="223">
        <f>IF(AND(BS139&lt;=0,BN139=0),MIN((MAX($BZ$80:$BZ$156)-SUM($BX$80:BX138)),CA139),IF(BS139&lt;CA139,BS139,CA139))</f>
        <v>0</v>
      </c>
      <c r="BY139" s="222">
        <f>IF(BN139&gt;0,0,IF(AND(BN139=0,BT139&lt;=0),100%,((BW138*(AVERAGE($BT$80:BT138))+(BR139*BT139))/(BR139+BW138+BS139+BV138))))</f>
        <v>1</v>
      </c>
      <c r="BZ139" s="139">
        <f t="shared" si="162"/>
        <v>430891.77838569693</v>
      </c>
      <c r="CA139" s="122">
        <f t="shared" si="131"/>
        <v>77264.600466995733</v>
      </c>
      <c r="CB139" s="181">
        <f t="shared" si="47"/>
        <v>1</v>
      </c>
      <c r="CC139" s="122">
        <f t="shared" si="48"/>
        <v>2260091.1685694559</v>
      </c>
      <c r="CD139" s="182">
        <f t="shared" si="119"/>
        <v>0</v>
      </c>
      <c r="CE139" s="122">
        <f t="shared" si="75"/>
        <v>430891.77838569693</v>
      </c>
      <c r="CF139" s="122">
        <f t="shared" si="76"/>
        <v>0</v>
      </c>
      <c r="CG139" s="122" t="str">
        <f t="shared" si="132"/>
        <v/>
      </c>
      <c r="CH139" s="140">
        <f t="shared" si="133"/>
        <v>1</v>
      </c>
      <c r="CI139" s="142">
        <f t="shared" si="77"/>
        <v>9984</v>
      </c>
      <c r="CJ139" s="134">
        <f>CI139*$C$57</f>
        <v>0</v>
      </c>
      <c r="CK139" s="142">
        <f t="shared" si="78"/>
        <v>14926</v>
      </c>
      <c r="CL139" s="134">
        <f>CK139*$C$57</f>
        <v>0</v>
      </c>
      <c r="CM139" s="142">
        <f t="shared" si="79"/>
        <v>58596</v>
      </c>
      <c r="CN139" s="134">
        <f>CM139*$C$57</f>
        <v>0</v>
      </c>
      <c r="CO139" s="132">
        <f t="shared" si="117"/>
        <v>77264.600466995733</v>
      </c>
      <c r="CP139" s="140">
        <f t="shared" si="134"/>
        <v>0.42</v>
      </c>
      <c r="CQ139" s="121" t="str">
        <f>IF($C$50="NEIN","NEIN",IF(CS139&lt;CR139,"JA","NEIN"))</f>
        <v>NEIN</v>
      </c>
      <c r="CR139" s="121">
        <f>CO139*$C$46</f>
        <v>20378.538373170122</v>
      </c>
      <c r="CS139" s="121">
        <f t="shared" si="135"/>
        <v>23183.602196138207</v>
      </c>
      <c r="CT139" s="201">
        <f>IF($C$50="NEIN",CR139,IF(CQ139="NEIN",CR139,CS139))</f>
        <v>20378.538373170122</v>
      </c>
      <c r="CU139" s="149"/>
      <c r="CV139" s="202">
        <f t="shared" si="80"/>
        <v>9984</v>
      </c>
      <c r="CW139" s="134">
        <f>CV139*$C$57</f>
        <v>0</v>
      </c>
      <c r="CX139" s="142">
        <f t="shared" si="81"/>
        <v>14926</v>
      </c>
      <c r="CY139" s="134">
        <f>CX139*$C$57</f>
        <v>0</v>
      </c>
      <c r="CZ139" s="142">
        <f t="shared" si="82"/>
        <v>58596</v>
      </c>
      <c r="DA139" s="143">
        <f>CZ139*$C$57</f>
        <v>0</v>
      </c>
      <c r="DB139" s="165">
        <f t="shared" si="120"/>
        <v>77264.600466995733</v>
      </c>
      <c r="DC139" s="140">
        <f t="shared" si="136"/>
        <v>0.42</v>
      </c>
      <c r="DD139" s="121" t="str">
        <f>IF($C$50="NEIN","NEIN",IF(DF139&lt;DE139,"JA","NEIN"))</f>
        <v>NEIN</v>
      </c>
      <c r="DE139" s="121">
        <f>DB139*$C$46</f>
        <v>20378.538373170122</v>
      </c>
      <c r="DF139" s="121">
        <f t="shared" si="137"/>
        <v>23183.602196138207</v>
      </c>
      <c r="DG139" s="201">
        <f>IF($C$50="NEIN",DE139,IF(DD139="NEIN",DE139,DF139))</f>
        <v>20378.538373170122</v>
      </c>
      <c r="DH139" s="159"/>
      <c r="DI139" s="74"/>
      <c r="DJ139" s="74"/>
      <c r="DK139" s="128"/>
      <c r="DL139" s="128"/>
      <c r="DM139" s="128"/>
      <c r="DN139" s="74"/>
      <c r="DO139" s="28">
        <f t="shared" si="83"/>
        <v>2080</v>
      </c>
      <c r="DP139" s="17">
        <f>IF($C$13+$C$10&gt;=DO139,-AG139,IF(DO139=$C$13+$C$10+1,$EK$93,0))</f>
        <v>0</v>
      </c>
      <c r="DQ139" s="17">
        <f t="shared" si="84"/>
        <v>3449614.5032948209</v>
      </c>
      <c r="DR139" s="17">
        <f t="shared" si="85"/>
        <v>11629448.037212959</v>
      </c>
      <c r="DS139" s="17">
        <f t="shared" si="163"/>
        <v>193728.83912433707</v>
      </c>
      <c r="DT139" s="17">
        <f t="shared" si="138"/>
        <v>12650799.257680906</v>
      </c>
      <c r="DU139" s="17">
        <f t="shared" si="86"/>
        <v>827622.38134361058</v>
      </c>
      <c r="DV139" s="33">
        <f t="shared" si="139"/>
        <v>5793.3566694052743</v>
      </c>
      <c r="DW139" s="32">
        <f t="shared" si="140"/>
        <v>253015.98515361812</v>
      </c>
      <c r="DX139" s="17">
        <f t="shared" si="87"/>
        <v>0</v>
      </c>
      <c r="DY139" s="17">
        <f t="shared" si="88"/>
        <v>0</v>
      </c>
      <c r="DZ139" s="17">
        <f t="shared" si="141"/>
        <v>0</v>
      </c>
      <c r="EA139" s="17">
        <f t="shared" si="164"/>
        <v>46501.812508986739</v>
      </c>
      <c r="EB139" s="15">
        <f t="shared" si="165"/>
        <v>206514.17264463138</v>
      </c>
      <c r="EC139" s="15">
        <f>IF(DP139=0,EC138,IF(DO139&lt;=$EK$88+$C$10,ABS(DP139)+EC138,EC138))</f>
        <v>430891.77838569693</v>
      </c>
      <c r="ED139" s="15">
        <f t="shared" si="89"/>
        <v>714903.26009181282</v>
      </c>
      <c r="EE139" s="16">
        <f t="shared" si="90"/>
        <v>12650799.257680906</v>
      </c>
      <c r="EF139" s="15">
        <f t="shared" si="142"/>
        <v>193728.83912433707</v>
      </c>
      <c r="EG139" s="15">
        <f t="shared" si="91"/>
        <v>3018722.724909124</v>
      </c>
      <c r="EH139" s="16"/>
      <c r="EI139" s="16"/>
      <c r="EJ139"/>
      <c r="EK139"/>
      <c r="EL139"/>
      <c r="EM139" s="28">
        <f t="shared" si="92"/>
        <v>2080</v>
      </c>
      <c r="EN139" s="29">
        <f>IF($C$13+$C$10&gt;=EM139,-(AG139),IF(EM139=$C$13+$C$10+1,$FB$93,0))</f>
        <v>0</v>
      </c>
      <c r="EO139" s="30">
        <f t="shared" si="93"/>
        <v>424772.76146075025</v>
      </c>
      <c r="EP139" s="30">
        <f t="shared" si="94"/>
        <v>14187545.783599682</v>
      </c>
      <c r="EQ139" s="30">
        <f t="shared" si="166"/>
        <v>-1199.5271623790413</v>
      </c>
      <c r="ER139" s="25">
        <f t="shared" si="143"/>
        <v>15179390.494387915</v>
      </c>
      <c r="ES139" s="30">
        <f t="shared" si="95"/>
        <v>993044.23795061186</v>
      </c>
      <c r="ET139" s="26">
        <f t="shared" si="144"/>
        <v>6951.3096656542784</v>
      </c>
      <c r="EU139" s="30">
        <f t="shared" si="96"/>
        <v>6951.3096656542784</v>
      </c>
      <c r="EV139" s="25">
        <f t="shared" si="145"/>
        <v>1283.385547021421</v>
      </c>
      <c r="EW139" s="31">
        <f t="shared" si="97"/>
        <v>103282.32413049004</v>
      </c>
      <c r="EX139" s="27">
        <f>IF(EM139=0,EX138,IF(EM139&lt;=$FB$88+$C$10,ABS(EN139)+EX138,EX138))</f>
        <v>430891.77838569693</v>
      </c>
      <c r="EY139" s="15"/>
      <c r="EZ139"/>
      <c r="FA139"/>
      <c r="FB139"/>
      <c r="FC139" s="74"/>
      <c r="FD139" s="74"/>
      <c r="FE139" s="74"/>
      <c r="FF139" s="74"/>
      <c r="FG139" s="74"/>
      <c r="FH139" s="74"/>
      <c r="FI139" s="74"/>
      <c r="FJ139" s="28">
        <f t="shared" si="98"/>
        <v>2080</v>
      </c>
      <c r="FK139" s="65">
        <f>IF($C$13+$C$10&gt;=FJ139,-AG139,IF(FJ139=$C$13+$C$10+1,$EK$93,0))</f>
        <v>0</v>
      </c>
      <c r="FL139" s="65">
        <f t="shared" si="99"/>
        <v>74118.803999999975</v>
      </c>
      <c r="FM139" s="65">
        <f t="shared" si="100"/>
        <v>1162062.8288718762</v>
      </c>
      <c r="FN139" s="65">
        <f t="shared" si="167"/>
        <v>0</v>
      </c>
      <c r="FO139" s="65">
        <f t="shared" si="146"/>
        <v>1243407.2268929076</v>
      </c>
      <c r="FP139" s="65">
        <f t="shared" si="101"/>
        <v>81344.398021031404</v>
      </c>
      <c r="FQ139" s="59">
        <f t="shared" si="147"/>
        <v>569.41078614721937</v>
      </c>
      <c r="FR139" s="60">
        <f t="shared" si="148"/>
        <v>24868.144537858152</v>
      </c>
      <c r="FS139" s="65">
        <f t="shared" si="102"/>
        <v>0</v>
      </c>
      <c r="FT139" s="65">
        <f t="shared" si="103"/>
        <v>0</v>
      </c>
      <c r="FU139" s="65">
        <f t="shared" si="149"/>
        <v>0</v>
      </c>
      <c r="FV139" s="65">
        <f t="shared" si="168"/>
        <v>4380.0174353020602</v>
      </c>
      <c r="FW139" s="61">
        <f t="shared" si="169"/>
        <v>20488.127102556093</v>
      </c>
      <c r="FX139" s="61">
        <f>IF(AND(FJ139&lt;=$GF$88+$C$10,FV138&lt;=0,FN139&gt;0),(FJ139-$C$10+1)*AG139+$GF$80,FX138)</f>
        <v>73074.599999999977</v>
      </c>
      <c r="FY139" s="62">
        <f t="shared" si="170"/>
        <v>20.732460894507746</v>
      </c>
      <c r="FZ139" s="63">
        <f t="shared" si="104"/>
        <v>1243407.2268929076</v>
      </c>
      <c r="GA139" s="64">
        <f t="shared" si="105"/>
        <v>23715.567936160744</v>
      </c>
      <c r="GB139" s="64">
        <f t="shared" si="106"/>
        <v>479053.54181601084</v>
      </c>
      <c r="GC139" s="66">
        <f t="shared" si="150"/>
        <v>0</v>
      </c>
      <c r="GD139" s="64">
        <f t="shared" si="107"/>
        <v>1580.6039999999994</v>
      </c>
      <c r="GE139"/>
      <c r="GF139"/>
      <c r="GG139" s="74"/>
      <c r="GH139" s="74"/>
      <c r="GI139" s="28">
        <f t="shared" si="108"/>
        <v>2080</v>
      </c>
      <c r="GJ139" s="9">
        <f>IF($GX$88+$C$10&gt;=GI139,-AG139,IF(GI139=$GX$88+$C$10+1,$FB$93,0))</f>
        <v>0</v>
      </c>
      <c r="GK139" s="5">
        <f t="shared" si="109"/>
        <v>744320.67414930917</v>
      </c>
      <c r="GL139" s="5">
        <f t="shared" si="110"/>
        <v>12637580.559057992</v>
      </c>
      <c r="GM139" s="35">
        <f t="shared" si="171"/>
        <v>18479.864094030359</v>
      </c>
      <c r="GN139" s="4">
        <f t="shared" si="151"/>
        <v>13541984.652772665</v>
      </c>
      <c r="GO139" s="5">
        <f t="shared" si="111"/>
        <v>885924.22962064296</v>
      </c>
      <c r="GP139" s="5">
        <f t="shared" si="152"/>
        <v>6201.4696073444902</v>
      </c>
      <c r="GQ139" s="5">
        <f t="shared" si="112"/>
        <v>6201.4696073444902</v>
      </c>
      <c r="GR139" s="4">
        <f t="shared" si="153"/>
        <v>1144.9463262559764</v>
      </c>
      <c r="GS139" s="7">
        <f t="shared" si="113"/>
        <v>89583.647850363428</v>
      </c>
      <c r="GT139" s="107" t="e">
        <f>IF($DG$62=0,EX139,IF(GI139-$C$10+1&lt;=$GF$98,0,#REF!-FX139))</f>
        <v>#REF!</v>
      </c>
      <c r="GU139"/>
      <c r="GV139"/>
      <c r="GW139"/>
      <c r="GX139"/>
      <c r="GY139" s="74"/>
      <c r="GZ139" s="74"/>
      <c r="HA139" s="74"/>
      <c r="HB139" s="74"/>
      <c r="HC139" s="74"/>
      <c r="HD139" s="74"/>
    </row>
    <row r="140" spans="2:212" ht="16.149999999999999" thickBot="1" x14ac:dyDescent="0.55000000000000004">
      <c r="B140" s="333"/>
      <c r="C140" s="75"/>
      <c r="D140" s="75"/>
      <c r="F140" s="75"/>
      <c r="G140" s="75"/>
      <c r="H140" s="75"/>
      <c r="I140" s="75"/>
      <c r="J140" s="75"/>
      <c r="K140" s="75"/>
      <c r="L140" s="75"/>
      <c r="M140" s="75"/>
      <c r="O140" s="75"/>
      <c r="P140" s="75"/>
      <c r="Q140" s="75"/>
      <c r="R140" s="75"/>
      <c r="AB140" s="117" t="str">
        <f t="shared" si="34"/>
        <v/>
      </c>
      <c r="AC140" s="117" t="str">
        <f t="shared" si="35"/>
        <v/>
      </c>
      <c r="AD140" s="299">
        <f>IF($C$20="NEIN",$C$21,IF($C$22="JA",'HISTORISCHE RENDITEN'!E64,'HISTORISCHE RENDITEN'!D64))</f>
        <v>0.3911</v>
      </c>
      <c r="AE140" s="129">
        <f t="shared" si="174"/>
        <v>88</v>
      </c>
      <c r="AF140" s="120">
        <f t="shared" si="154"/>
        <v>2081</v>
      </c>
      <c r="AG140" s="122">
        <f t="shared" si="123"/>
        <v>0</v>
      </c>
      <c r="AH140" s="124">
        <f t="shared" si="155"/>
        <v>430891.77838569693</v>
      </c>
      <c r="AI140" s="296">
        <f t="shared" si="114"/>
        <v>739184.20511447126</v>
      </c>
      <c r="AJ140" s="123">
        <f t="shared" si="67"/>
        <v>0</v>
      </c>
      <c r="AK140" s="124">
        <f t="shared" si="156"/>
        <v>1028279.147734741</v>
      </c>
      <c r="AL140" s="122">
        <f t="shared" si="124"/>
        <v>289094.94262026972</v>
      </c>
      <c r="AM140" s="122">
        <f>IF($C$25="Ausschütter",0,IF(AL140&gt;=0,(AI140+AJ140)*$C$48*0.7))</f>
        <v>362.20026050609084</v>
      </c>
      <c r="AN140" s="122">
        <f t="shared" si="125"/>
        <v>0</v>
      </c>
      <c r="AO140" s="122">
        <f t="shared" si="39"/>
        <v>362.20026050609084</v>
      </c>
      <c r="AP140" s="122">
        <f t="shared" si="69"/>
        <v>20639.036914740485</v>
      </c>
      <c r="AQ140" s="122">
        <f>IF($C$25="AUSSCHÜTTER",0,IF(AO140*$C$46*$C$49&lt;=$C$47,0,AO140*$C$46*$C$49))</f>
        <v>0</v>
      </c>
      <c r="AR140" s="122">
        <f>IF(AO139*$C$49&gt;$C$47,(AN140)*$C$49*$C$46,IF((AO139+AN140)*$C$49&gt;$C$47,((AO139+AN140)*$C$49-$C$47)*$C$46,0))</f>
        <v>0</v>
      </c>
      <c r="AS140" s="122">
        <f t="shared" si="70"/>
        <v>0</v>
      </c>
      <c r="AT140" s="122">
        <f t="shared" si="157"/>
        <v>430891.77838569693</v>
      </c>
      <c r="AU140" s="122">
        <f t="shared" si="115"/>
        <v>0</v>
      </c>
      <c r="AV140" s="122">
        <f t="shared" si="71"/>
        <v>1028279.147734741</v>
      </c>
      <c r="AW140" s="122">
        <f t="shared" si="158"/>
        <v>0</v>
      </c>
      <c r="AX140" s="130">
        <f t="shared" si="159"/>
        <v>0</v>
      </c>
      <c r="AY140" s="82">
        <f>IF(AF140&lt;$C$11,$C$15*(1+$C$19)^(AF140-$C$10),0)</f>
        <v>0</v>
      </c>
      <c r="AZ140" s="82">
        <f>$C$14*(1+$C$37)^(AF140-$C$10)</f>
        <v>79196.215478670609</v>
      </c>
      <c r="BA140" s="165">
        <f>IF(AF140&lt;$C$11,0,MAX($C$38*AI140,AZ140))</f>
        <v>79196.215478670609</v>
      </c>
      <c r="BB140" s="82">
        <f>IF(AF140&lt;$C$11,0,MAX($C$38*AI140,AZ140))</f>
        <v>79196.215478670609</v>
      </c>
      <c r="BC140" s="136">
        <f>IF($C$39="JA",CT140,DG140)</f>
        <v>20888.001832499373</v>
      </c>
      <c r="BD140" s="82">
        <f t="shared" si="126"/>
        <v>0</v>
      </c>
      <c r="BE140" s="82">
        <f>IF(AF140&lt;($C$8+$C$30),0,$C$29*12*(1-$C$31))</f>
        <v>0</v>
      </c>
      <c r="BF140" s="82">
        <f>IF(AF140&lt;($C$8+$C$34),0,$C$33*12*(1-$C$35))</f>
        <v>0</v>
      </c>
      <c r="BG140" s="82">
        <f>IF(AF140&lt;$C$11,0,IF(AI140&lt;0,$C$42*(1+$C$44)^(AF140-$C$10),IF(((AL140+BE140+BF140)*$C$41)&lt;$C$42*(1+$C$44)^(AF140-$C$10),$C$42*(1+$C$44)^(AF140-$C$10),IF(((AL140+BE140+BF140)*$C$41)&lt;$C$43*(1+$C$44)^(AF140-$C$10),(AL140+BE140+BF140)*$C$41,IF(((AL140+BE140+BF140+BB140)*$C$41)&lt;$C$43*(1+$C$44)^(AF140-$C$10),((AL140+BE140+BF140+BB140)*$C$41),$C$43*(1+$C$44)^(AF140-$C$10))))))</f>
        <v>26386.773577448999</v>
      </c>
      <c r="BH140" s="82">
        <f t="shared" si="72"/>
        <v>126470.99088861898</v>
      </c>
      <c r="BI140" s="242">
        <f t="shared" si="73"/>
        <v>1028279.147734741</v>
      </c>
      <c r="BJ140" s="217">
        <f t="shared" si="74"/>
        <v>901808.156846122</v>
      </c>
      <c r="BK140" s="118"/>
      <c r="BL140" s="219">
        <f t="shared" si="127"/>
        <v>44</v>
      </c>
      <c r="BM140" s="220">
        <f t="shared" si="128"/>
        <v>61</v>
      </c>
      <c r="BN140" s="220">
        <f t="shared" si="173"/>
        <v>0</v>
      </c>
      <c r="BO140" s="221">
        <f t="shared" si="129"/>
        <v>0</v>
      </c>
      <c r="BP140" s="221">
        <f t="shared" si="130"/>
        <v>0</v>
      </c>
      <c r="BQ140" s="222">
        <f t="shared" si="9"/>
        <v>0</v>
      </c>
      <c r="BR140" s="223">
        <f>IF(BM140&lt;$C$11-$C$10+1,0,IF(BL140&lt;=$C$13,VLOOKUP(BL140,$BN$80:$BQ$156,2,FALSE)-BS140,0))</f>
        <v>0</v>
      </c>
      <c r="BS140" s="223">
        <f>IF(BM140&lt;$C$11-$C$10+1,0,IF(BL140&lt;=$C$13,VLOOKUP(BL140,$BN$80:$BQ$156,3,FALSE),0))</f>
        <v>0</v>
      </c>
      <c r="BT140" s="222">
        <f>IF(BM140&lt;$C$11-$C$10+1,0,IF(BL140&lt;=$C$13,VLOOKUP(BL140,$BN$80:$BQ$156,4,FALSE),0))</f>
        <v>0</v>
      </c>
      <c r="BU140" s="223">
        <f t="shared" si="160"/>
        <v>0</v>
      </c>
      <c r="BV140" s="223">
        <f t="shared" si="161"/>
        <v>0</v>
      </c>
      <c r="BW140" s="223">
        <f t="shared" si="118"/>
        <v>0</v>
      </c>
      <c r="BX140" s="223">
        <f>IF(AND(BS140&lt;=0,BN140=0),MIN((MAX($BZ$80:$BZ$156)-SUM($BX$80:BX139)),CA140),IF(BS140&lt;CA140,BS140,CA140))</f>
        <v>0</v>
      </c>
      <c r="BY140" s="222">
        <f>IF(BN140&gt;0,0,IF(AND(BN140=0,BT140&lt;=0),100%,((BW139*(AVERAGE($BT$80:BT139))+(BR140*BT140))/(BR140+BW139+BS140+BV139))))</f>
        <v>1</v>
      </c>
      <c r="BZ140" s="139">
        <f t="shared" si="162"/>
        <v>430891.77838569693</v>
      </c>
      <c r="CA140" s="122">
        <f t="shared" si="131"/>
        <v>79196.215478670609</v>
      </c>
      <c r="CB140" s="181">
        <f t="shared" si="47"/>
        <v>1</v>
      </c>
      <c r="CC140" s="122">
        <f t="shared" si="48"/>
        <v>2339287.3840481266</v>
      </c>
      <c r="CD140" s="182">
        <f t="shared" si="119"/>
        <v>0</v>
      </c>
      <c r="CE140" s="122">
        <f t="shared" si="75"/>
        <v>430891.77838569693</v>
      </c>
      <c r="CF140" s="122">
        <f t="shared" si="76"/>
        <v>0</v>
      </c>
      <c r="CG140" s="122" t="str">
        <f t="shared" si="132"/>
        <v/>
      </c>
      <c r="CH140" s="140">
        <f t="shared" si="133"/>
        <v>1</v>
      </c>
      <c r="CI140" s="142">
        <f t="shared" si="77"/>
        <v>9984</v>
      </c>
      <c r="CJ140" s="134">
        <f>CI140*$C$57</f>
        <v>0</v>
      </c>
      <c r="CK140" s="142">
        <f t="shared" si="78"/>
        <v>14926</v>
      </c>
      <c r="CL140" s="134">
        <f>CK140*$C$57</f>
        <v>0</v>
      </c>
      <c r="CM140" s="142">
        <f t="shared" si="79"/>
        <v>58596</v>
      </c>
      <c r="CN140" s="134">
        <f>CM140*$C$57</f>
        <v>0</v>
      </c>
      <c r="CO140" s="132">
        <f t="shared" si="117"/>
        <v>79196.215478670609</v>
      </c>
      <c r="CP140" s="140">
        <f t="shared" si="134"/>
        <v>0.42</v>
      </c>
      <c r="CQ140" s="121" t="str">
        <f>IF($C$50="NEIN","NEIN",IF(CS140&lt;CR140,"JA","NEIN"))</f>
        <v>NEIN</v>
      </c>
      <c r="CR140" s="121">
        <f>CO140*$C$46</f>
        <v>20888.001832499373</v>
      </c>
      <c r="CS140" s="121">
        <f t="shared" si="135"/>
        <v>23994.880501041654</v>
      </c>
      <c r="CT140" s="201">
        <f>IF($C$50="NEIN",CR140,IF(CQ140="NEIN",CR140,CS140))</f>
        <v>20888.001832499373</v>
      </c>
      <c r="CU140" s="149"/>
      <c r="CV140" s="202">
        <f t="shared" si="80"/>
        <v>9984</v>
      </c>
      <c r="CW140" s="134">
        <f>CV140*$C$57</f>
        <v>0</v>
      </c>
      <c r="CX140" s="142">
        <f t="shared" si="81"/>
        <v>14926</v>
      </c>
      <c r="CY140" s="134">
        <f>CX140*$C$57</f>
        <v>0</v>
      </c>
      <c r="CZ140" s="142">
        <f t="shared" si="82"/>
        <v>58596</v>
      </c>
      <c r="DA140" s="143">
        <f>CZ140*$C$57</f>
        <v>0</v>
      </c>
      <c r="DB140" s="165">
        <f t="shared" si="120"/>
        <v>79196.215478670609</v>
      </c>
      <c r="DC140" s="140">
        <f t="shared" si="136"/>
        <v>0.42</v>
      </c>
      <c r="DD140" s="121" t="str">
        <f>IF($C$50="NEIN","NEIN",IF(DF140&lt;DE140,"JA","NEIN"))</f>
        <v>NEIN</v>
      </c>
      <c r="DE140" s="121">
        <f>DB140*$C$46</f>
        <v>20888.001832499373</v>
      </c>
      <c r="DF140" s="121">
        <f t="shared" si="137"/>
        <v>23994.880501041654</v>
      </c>
      <c r="DG140" s="201">
        <f>IF($C$50="NEIN",DE140,IF(DD140="NEIN",DE140,DF140))</f>
        <v>20888.001832499373</v>
      </c>
      <c r="DH140" s="159"/>
      <c r="DI140" s="74"/>
      <c r="DJ140" s="74"/>
      <c r="DK140" s="128"/>
      <c r="DL140" s="128"/>
      <c r="DM140" s="128"/>
      <c r="DN140" s="74"/>
      <c r="DO140" s="28">
        <f t="shared" si="83"/>
        <v>2081</v>
      </c>
      <c r="DP140" s="17">
        <f>IF($C$13+$C$10&gt;=DO140,-AG140,IF(DO140=$C$13+$C$10+1,$EK$93,0))</f>
        <v>0</v>
      </c>
      <c r="DQ140" s="17">
        <f t="shared" si="84"/>
        <v>3656128.6759394524</v>
      </c>
      <c r="DR140" s="17">
        <f t="shared" si="85"/>
        <v>12397783.272527289</v>
      </c>
      <c r="DS140" s="17">
        <f t="shared" si="163"/>
        <v>206514.17264463138</v>
      </c>
      <c r="DT140" s="17">
        <f t="shared" si="138"/>
        <v>13486598.266333956</v>
      </c>
      <c r="DU140" s="17">
        <f t="shared" si="86"/>
        <v>882300.82116203569</v>
      </c>
      <c r="DV140" s="33">
        <f t="shared" si="139"/>
        <v>6176.1057481342414</v>
      </c>
      <c r="DW140" s="32">
        <f t="shared" si="140"/>
        <v>269731.96532667911</v>
      </c>
      <c r="DX140" s="17">
        <f t="shared" si="87"/>
        <v>0</v>
      </c>
      <c r="DY140" s="17">
        <f t="shared" si="88"/>
        <v>0</v>
      </c>
      <c r="DZ140" s="17">
        <f t="shared" si="141"/>
        <v>0</v>
      </c>
      <c r="EA140" s="17">
        <f t="shared" si="164"/>
        <v>49588.000348438123</v>
      </c>
      <c r="EB140" s="15">
        <f t="shared" si="165"/>
        <v>220143.96497824098</v>
      </c>
      <c r="EC140" s="15">
        <f>IF(DP140=0,EC139,IF(DO140&lt;=$EK$88+$C$10,ABS(DP140)+EC139,EC139))</f>
        <v>430891.77838569693</v>
      </c>
      <c r="ED140" s="15">
        <f t="shared" si="89"/>
        <v>764491.26044025098</v>
      </c>
      <c r="EE140" s="16">
        <f t="shared" si="90"/>
        <v>13486598.266333956</v>
      </c>
      <c r="EF140" s="15">
        <f t="shared" si="142"/>
        <v>206514.17264463138</v>
      </c>
      <c r="EG140" s="15">
        <f t="shared" si="91"/>
        <v>3225236.8975537554</v>
      </c>
      <c r="EH140" s="16"/>
      <c r="EI140" s="16"/>
      <c r="EJ140"/>
      <c r="EK140"/>
      <c r="EL140"/>
      <c r="EM140" s="28">
        <f t="shared" si="92"/>
        <v>2081</v>
      </c>
      <c r="EN140" s="29">
        <f>IF($C$13+$C$10&gt;=EM140,-(AG140),IF(EM140=$C$13+$C$10+1,$FB$93,0))</f>
        <v>0</v>
      </c>
      <c r="EO140" s="30">
        <f t="shared" si="93"/>
        <v>423489.37591372884</v>
      </c>
      <c r="EP140" s="30">
        <f t="shared" si="94"/>
        <v>15179390.494387915</v>
      </c>
      <c r="EQ140" s="30">
        <f t="shared" si="166"/>
        <v>-1283.385547021421</v>
      </c>
      <c r="ER140" s="25">
        <f t="shared" si="143"/>
        <v>16240574.606459757</v>
      </c>
      <c r="ES140" s="30">
        <f t="shared" si="95"/>
        <v>1062467.4976188634</v>
      </c>
      <c r="ET140" s="26">
        <f t="shared" si="144"/>
        <v>7437.2724833320372</v>
      </c>
      <c r="EU140" s="30">
        <f t="shared" si="96"/>
        <v>7437.2724833320372</v>
      </c>
      <c r="EV140" s="25">
        <f t="shared" si="145"/>
        <v>1373.1064322351772</v>
      </c>
      <c r="EW140" s="31">
        <f t="shared" si="97"/>
        <v>110719.59661382208</v>
      </c>
      <c r="EX140" s="27">
        <f>IF(EM140=0,EX139,IF(EM140&lt;=$FB$88+$C$10,ABS(EN140)+EX139,EX139))</f>
        <v>430891.77838569693</v>
      </c>
      <c r="EY140" s="15"/>
      <c r="EZ140"/>
      <c r="FA140"/>
      <c r="FB140"/>
      <c r="FC140" s="74"/>
      <c r="FD140" s="74"/>
      <c r="FE140" s="74"/>
      <c r="FF140" s="74"/>
      <c r="FG140" s="74"/>
      <c r="FH140" s="74"/>
      <c r="FI140" s="74"/>
      <c r="FJ140" s="28">
        <f t="shared" si="98"/>
        <v>2081</v>
      </c>
      <c r="FK140" s="65">
        <f>IF($C$13+$C$10&gt;=FJ140,-AG140,IF(FJ140=$C$13+$C$10+1,$EK$93,0))</f>
        <v>0</v>
      </c>
      <c r="FL140" s="65">
        <f t="shared" si="99"/>
        <v>74118.803999999975</v>
      </c>
      <c r="FM140" s="65">
        <f t="shared" si="100"/>
        <v>1218539.0823550494</v>
      </c>
      <c r="FN140" s="65">
        <f t="shared" si="167"/>
        <v>0</v>
      </c>
      <c r="FO140" s="65">
        <f t="shared" si="146"/>
        <v>1303836.8181199029</v>
      </c>
      <c r="FP140" s="65">
        <f t="shared" si="101"/>
        <v>85297.735764853423</v>
      </c>
      <c r="FQ140" s="59">
        <f t="shared" si="147"/>
        <v>597.08415035397422</v>
      </c>
      <c r="FR140" s="60">
        <f t="shared" si="148"/>
        <v>26076.736362398056</v>
      </c>
      <c r="FS140" s="65">
        <f t="shared" si="102"/>
        <v>0</v>
      </c>
      <c r="FT140" s="65">
        <f t="shared" si="103"/>
        <v>0</v>
      </c>
      <c r="FU140" s="65">
        <f t="shared" si="149"/>
        <v>0</v>
      </c>
      <c r="FV140" s="65">
        <f t="shared" si="168"/>
        <v>4603.1537009077401</v>
      </c>
      <c r="FW140" s="61">
        <f t="shared" si="169"/>
        <v>21473.582661490316</v>
      </c>
      <c r="FX140" s="61">
        <f>IF(AND(FJ140&lt;=$GF$88+$C$10,FV139&lt;=0,FN140&gt;0),(FJ140-$C$10+1)*AG140+$GF$80,FX139)</f>
        <v>73074.599999999977</v>
      </c>
      <c r="FY140" s="62">
        <f t="shared" si="170"/>
        <v>21.788658493980819</v>
      </c>
      <c r="FZ140" s="63">
        <f t="shared" si="104"/>
        <v>1303836.8181199029</v>
      </c>
      <c r="GA140" s="64">
        <f t="shared" si="105"/>
        <v>24868.144537858152</v>
      </c>
      <c r="GB140" s="64">
        <f t="shared" si="106"/>
        <v>503921.68635386898</v>
      </c>
      <c r="GC140" s="66">
        <f t="shared" si="150"/>
        <v>0</v>
      </c>
      <c r="GD140" s="64">
        <f t="shared" si="107"/>
        <v>1580.6039999999994</v>
      </c>
      <c r="GE140"/>
      <c r="GF140"/>
      <c r="GG140" s="74"/>
      <c r="GH140" s="74"/>
      <c r="GI140" s="28">
        <f t="shared" si="108"/>
        <v>2081</v>
      </c>
      <c r="GJ140" s="9">
        <f>IF($GX$88+$C$10&gt;=GI140,-AG140,IF(GI140=$GX$88+$C$10+1,$FB$93,0))</f>
        <v>0</v>
      </c>
      <c r="GK140" s="5">
        <f t="shared" si="109"/>
        <v>763663.85492560931</v>
      </c>
      <c r="GL140" s="5">
        <f t="shared" si="110"/>
        <v>13541984.652772665</v>
      </c>
      <c r="GM140" s="35">
        <f t="shared" si="171"/>
        <v>19343.180776300116</v>
      </c>
      <c r="GN140" s="4">
        <f t="shared" si="151"/>
        <v>14510620.781897394</v>
      </c>
      <c r="GO140" s="5">
        <f t="shared" si="111"/>
        <v>949292.94834842905</v>
      </c>
      <c r="GP140" s="5">
        <f t="shared" si="152"/>
        <v>6645.0506384389919</v>
      </c>
      <c r="GQ140" s="5">
        <f t="shared" si="112"/>
        <v>6645.0506384389919</v>
      </c>
      <c r="GR140" s="4">
        <f t="shared" si="153"/>
        <v>1226.8424741217987</v>
      </c>
      <c r="GS140" s="7">
        <f t="shared" si="113"/>
        <v>96228.698488802416</v>
      </c>
      <c r="GT140" s="107" t="e">
        <f>IF($DG$62=0,EX140,IF(GI140-$C$10+1&lt;=$GF$98,0,#REF!-FX140))</f>
        <v>#REF!</v>
      </c>
      <c r="GU140"/>
      <c r="GV140"/>
      <c r="GW140"/>
      <c r="GX140"/>
      <c r="GY140" s="74"/>
      <c r="GZ140" s="74"/>
      <c r="HA140" s="74"/>
      <c r="HB140" s="74"/>
      <c r="HC140" s="74"/>
      <c r="HD140" s="74"/>
    </row>
    <row r="141" spans="2:212" ht="16.149999999999999" thickBot="1" x14ac:dyDescent="0.55000000000000004">
      <c r="B141" s="333"/>
      <c r="C141" s="75"/>
      <c r="D141" s="75"/>
      <c r="F141" s="75"/>
      <c r="G141" s="75"/>
      <c r="H141" s="75"/>
      <c r="I141" s="75"/>
      <c r="J141" s="75"/>
      <c r="K141" s="75"/>
      <c r="L141" s="75"/>
      <c r="M141" s="75"/>
      <c r="O141" s="75"/>
      <c r="P141" s="75"/>
      <c r="Q141" s="75"/>
      <c r="R141" s="75"/>
      <c r="AB141" s="117" t="str">
        <f t="shared" si="34"/>
        <v/>
      </c>
      <c r="AC141" s="117" t="str">
        <f t="shared" si="35"/>
        <v/>
      </c>
      <c r="AD141" s="299">
        <f>IF($C$20="NEIN",$C$21,IF($C$22="JA",'HISTORISCHE RENDITEN'!E65,'HISTORISCHE RENDITEN'!D65))</f>
        <v>0.1434</v>
      </c>
      <c r="AE141" s="129">
        <f t="shared" si="174"/>
        <v>89</v>
      </c>
      <c r="AF141" s="120">
        <f t="shared" si="154"/>
        <v>2082</v>
      </c>
      <c r="AG141" s="122">
        <f t="shared" si="123"/>
        <v>0</v>
      </c>
      <c r="AH141" s="124">
        <f t="shared" si="155"/>
        <v>430891.77838569693</v>
      </c>
      <c r="AI141" s="296">
        <f t="shared" si="114"/>
        <v>901808.156846122</v>
      </c>
      <c r="AJ141" s="123">
        <f t="shared" si="67"/>
        <v>0</v>
      </c>
      <c r="AK141" s="124">
        <f t="shared" si="156"/>
        <v>1031127.4465378559</v>
      </c>
      <c r="AL141" s="122">
        <f t="shared" si="124"/>
        <v>129319.28969173389</v>
      </c>
      <c r="AM141" s="122">
        <f>IF($C$25="Ausschütter",0,IF(AL141&gt;=0,(AI141+AJ141)*$C$48*0.7))</f>
        <v>441.88599685459974</v>
      </c>
      <c r="AN141" s="122">
        <f t="shared" si="125"/>
        <v>0</v>
      </c>
      <c r="AO141" s="122">
        <f t="shared" si="39"/>
        <v>441.88599685459974</v>
      </c>
      <c r="AP141" s="122">
        <f t="shared" si="69"/>
        <v>21080.922911595084</v>
      </c>
      <c r="AQ141" s="122">
        <f>IF($C$25="AUSSCHÜTTER",0,IF(AO141*$C$46*$C$49&lt;=$C$47,0,AO141*$C$46*$C$49))</f>
        <v>0</v>
      </c>
      <c r="AR141" s="122">
        <f>IF(AO140*$C$49&gt;$C$47,(AN141)*$C$49*$C$46,IF((AO140+AN141)*$C$49&gt;$C$47,((AO140+AN141)*$C$49-$C$47)*$C$46,0))</f>
        <v>0</v>
      </c>
      <c r="AS141" s="122">
        <f t="shared" si="70"/>
        <v>0</v>
      </c>
      <c r="AT141" s="122">
        <f t="shared" si="157"/>
        <v>430891.77838569693</v>
      </c>
      <c r="AU141" s="122">
        <f t="shared" si="115"/>
        <v>0</v>
      </c>
      <c r="AV141" s="122">
        <f t="shared" si="71"/>
        <v>1031127.4465378559</v>
      </c>
      <c r="AW141" s="122">
        <f t="shared" si="158"/>
        <v>0</v>
      </c>
      <c r="AX141" s="130">
        <f t="shared" si="159"/>
        <v>0</v>
      </c>
      <c r="AY141" s="82">
        <f>IF(AF141&lt;$C$11,$C$15*(1+$C$19)^(AF141-$C$10),0)</f>
        <v>0</v>
      </c>
      <c r="AZ141" s="82">
        <f>$C$14*(1+$C$37)^(AF141-$C$10)</f>
        <v>81176.120865637393</v>
      </c>
      <c r="BA141" s="165">
        <f>IF(AF141&lt;$C$11,0,MAX($C$38*AI141,AZ141))</f>
        <v>81176.120865637393</v>
      </c>
      <c r="BB141" s="82">
        <f>IF(AF141&lt;$C$11,0,MAX($C$38*AI141,AZ141))</f>
        <v>81176.120865637393</v>
      </c>
      <c r="BC141" s="136">
        <f>IF($C$39="JA",CT141,DG141)</f>
        <v>21410.201878311862</v>
      </c>
      <c r="BD141" s="82">
        <f t="shared" si="126"/>
        <v>0</v>
      </c>
      <c r="BE141" s="82">
        <f>IF(AF141&lt;($C$8+$C$30),0,$C$29*12*(1-$C$31))</f>
        <v>0</v>
      </c>
      <c r="BF141" s="82">
        <f>IF(AF141&lt;($C$8+$C$34),0,$C$33*12*(1-$C$35))</f>
        <v>0</v>
      </c>
      <c r="BG141" s="82">
        <f>IF(AF141&lt;$C$11,0,IF(AI141&lt;0,$C$42*(1+$C$44)^(AF141-$C$10),IF(((AL141+BE141+BF141)*$C$41)&lt;$C$42*(1+$C$44)^(AF141-$C$10),$C$42*(1+$C$44)^(AF141-$C$10),IF(((AL141+BE141+BF141)*$C$41)&lt;$C$43*(1+$C$44)^(AF141-$C$10),(AL141+BE141+BF141)*$C$41,IF(((AL141+BE141+BF141+BB141)*$C$41)&lt;$C$43*(1+$C$44)^(AF141-$C$10),((AL141+BE141+BF141+BB141)*$C$41),$C$43*(1+$C$44)^(AF141-$C$10))))))</f>
        <v>24570.665041429442</v>
      </c>
      <c r="BH141" s="82">
        <f t="shared" si="72"/>
        <v>127156.9877853787</v>
      </c>
      <c r="BI141" s="242">
        <f t="shared" si="73"/>
        <v>1031127.4465378559</v>
      </c>
      <c r="BJ141" s="217">
        <f t="shared" si="74"/>
        <v>903970.45875247719</v>
      </c>
      <c r="BK141" s="118"/>
      <c r="BL141" s="219">
        <f t="shared" si="127"/>
        <v>45</v>
      </c>
      <c r="BM141" s="220">
        <f t="shared" si="128"/>
        <v>62</v>
      </c>
      <c r="BN141" s="220">
        <f t="shared" si="173"/>
        <v>0</v>
      </c>
      <c r="BO141" s="221">
        <f t="shared" si="129"/>
        <v>0</v>
      </c>
      <c r="BP141" s="221">
        <f t="shared" si="130"/>
        <v>0</v>
      </c>
      <c r="BQ141" s="222">
        <f t="shared" si="9"/>
        <v>0</v>
      </c>
      <c r="BR141" s="223">
        <f>IF(BM141&lt;$C$11-$C$10+1,0,IF(BL141&lt;=$C$13,VLOOKUP(BL141,$BN$80:$BQ$156,2,FALSE)-BS141,0))</f>
        <v>0</v>
      </c>
      <c r="BS141" s="223">
        <f>IF(BM141&lt;$C$11-$C$10+1,0,IF(BL141&lt;=$C$13,VLOOKUP(BL141,$BN$80:$BQ$156,3,FALSE),0))</f>
        <v>0</v>
      </c>
      <c r="BT141" s="222">
        <f>IF(BM141&lt;$C$11-$C$10+1,0,IF(BL141&lt;=$C$13,VLOOKUP(BL141,$BN$80:$BQ$156,4,FALSE),0))</f>
        <v>0</v>
      </c>
      <c r="BU141" s="223">
        <f t="shared" si="160"/>
        <v>0</v>
      </c>
      <c r="BV141" s="223">
        <f t="shared" si="161"/>
        <v>0</v>
      </c>
      <c r="BW141" s="223">
        <f t="shared" si="118"/>
        <v>0</v>
      </c>
      <c r="BX141" s="223">
        <f>IF(AND(BS141&lt;=0,BN141=0),MIN((MAX($BZ$80:$BZ$156)-SUM($BX$80:BX140)),CA141),IF(BS141&lt;CA141,BS141,CA141))</f>
        <v>0</v>
      </c>
      <c r="BY141" s="222">
        <f>IF(BN141&gt;0,0,IF(AND(BN141=0,BT141&lt;=0),100%,((BW140*(AVERAGE($BT$80:BT140))+(BR141*BT141))/(BR141+BW140+BS141+BV140))))</f>
        <v>1</v>
      </c>
      <c r="BZ141" s="139">
        <f t="shared" si="162"/>
        <v>430891.77838569693</v>
      </c>
      <c r="CA141" s="122">
        <f t="shared" si="131"/>
        <v>81176.120865637393</v>
      </c>
      <c r="CB141" s="181">
        <f t="shared" si="47"/>
        <v>1</v>
      </c>
      <c r="CC141" s="122">
        <f t="shared" si="48"/>
        <v>2420463.5049137641</v>
      </c>
      <c r="CD141" s="182">
        <f t="shared" si="119"/>
        <v>0</v>
      </c>
      <c r="CE141" s="122">
        <f t="shared" si="75"/>
        <v>430891.77838569693</v>
      </c>
      <c r="CF141" s="122">
        <f t="shared" si="76"/>
        <v>0</v>
      </c>
      <c r="CG141" s="122" t="str">
        <f t="shared" si="132"/>
        <v/>
      </c>
      <c r="CH141" s="140">
        <f t="shared" si="133"/>
        <v>1</v>
      </c>
      <c r="CI141" s="142">
        <f t="shared" si="77"/>
        <v>9984</v>
      </c>
      <c r="CJ141" s="134">
        <f>CI141*$C$57</f>
        <v>0</v>
      </c>
      <c r="CK141" s="142">
        <f t="shared" si="78"/>
        <v>14926</v>
      </c>
      <c r="CL141" s="134">
        <f>CK141*$C$57</f>
        <v>0</v>
      </c>
      <c r="CM141" s="142">
        <f t="shared" si="79"/>
        <v>58596</v>
      </c>
      <c r="CN141" s="134">
        <f>CM141*$C$57</f>
        <v>0</v>
      </c>
      <c r="CO141" s="132">
        <f t="shared" si="117"/>
        <v>81176.120865637393</v>
      </c>
      <c r="CP141" s="140">
        <f t="shared" si="134"/>
        <v>0.42</v>
      </c>
      <c r="CQ141" s="121" t="str">
        <f>IF($C$50="NEIN","NEIN",IF(CS141&lt;CR141,"JA","NEIN"))</f>
        <v>NEIN</v>
      </c>
      <c r="CR141" s="121">
        <f>CO141*$C$46</f>
        <v>21410.201878311862</v>
      </c>
      <c r="CS141" s="121">
        <f t="shared" si="135"/>
        <v>24826.440763567705</v>
      </c>
      <c r="CT141" s="201">
        <f>IF($C$50="NEIN",CR141,IF(CQ141="NEIN",CR141,CS141))</f>
        <v>21410.201878311862</v>
      </c>
      <c r="CU141" s="149"/>
      <c r="CV141" s="202">
        <f t="shared" si="80"/>
        <v>9984</v>
      </c>
      <c r="CW141" s="134">
        <f>CV141*$C$57</f>
        <v>0</v>
      </c>
      <c r="CX141" s="142">
        <f t="shared" si="81"/>
        <v>14926</v>
      </c>
      <c r="CY141" s="134">
        <f>CX141*$C$57</f>
        <v>0</v>
      </c>
      <c r="CZ141" s="142">
        <f t="shared" si="82"/>
        <v>58596</v>
      </c>
      <c r="DA141" s="143">
        <f>CZ141*$C$57</f>
        <v>0</v>
      </c>
      <c r="DB141" s="165">
        <f t="shared" si="120"/>
        <v>81176.120865637393</v>
      </c>
      <c r="DC141" s="140">
        <f t="shared" si="136"/>
        <v>0.42</v>
      </c>
      <c r="DD141" s="121" t="str">
        <f>IF($C$50="NEIN","NEIN",IF(DF141&lt;DE141,"JA","NEIN"))</f>
        <v>NEIN</v>
      </c>
      <c r="DE141" s="121">
        <f>DB141*$C$46</f>
        <v>21410.201878311862</v>
      </c>
      <c r="DF141" s="121">
        <f t="shared" si="137"/>
        <v>24826.440763567705</v>
      </c>
      <c r="DG141" s="201">
        <f>IF($C$50="NEIN",DE141,IF(DD141="NEIN",DE141,DF141))</f>
        <v>21410.201878311862</v>
      </c>
      <c r="DH141" s="159"/>
      <c r="DI141" s="74"/>
      <c r="DJ141" s="74"/>
      <c r="DK141" s="128"/>
      <c r="DL141" s="128"/>
      <c r="DM141" s="128"/>
      <c r="DN141" s="74"/>
      <c r="DO141" s="28">
        <f t="shared" si="83"/>
        <v>2082</v>
      </c>
      <c r="DP141" s="17">
        <f>IF($C$13+$C$10&gt;=DO141,-AG141,IF(DO141=$C$13+$C$10+1,$EK$93,0))</f>
        <v>0</v>
      </c>
      <c r="DQ141" s="17">
        <f t="shared" si="84"/>
        <v>3876272.6409176933</v>
      </c>
      <c r="DR141" s="17">
        <f t="shared" si="85"/>
        <v>13216866.301007276</v>
      </c>
      <c r="DS141" s="17">
        <f t="shared" si="163"/>
        <v>220143.96497824098</v>
      </c>
      <c r="DT141" s="17">
        <f t="shared" si="138"/>
        <v>14377600.984604504</v>
      </c>
      <c r="DU141" s="17">
        <f t="shared" si="86"/>
        <v>940590.71861898713</v>
      </c>
      <c r="DV141" s="33">
        <f t="shared" si="139"/>
        <v>6584.1350303329027</v>
      </c>
      <c r="DW141" s="32">
        <f t="shared" si="140"/>
        <v>287552.01969209011</v>
      </c>
      <c r="DX141" s="17">
        <f t="shared" si="87"/>
        <v>0</v>
      </c>
      <c r="DY141" s="17">
        <f t="shared" si="88"/>
        <v>0</v>
      </c>
      <c r="DZ141" s="17">
        <f t="shared" si="141"/>
        <v>0</v>
      </c>
      <c r="EA141" s="17">
        <f t="shared" si="164"/>
        <v>52878.027885652133</v>
      </c>
      <c r="EB141" s="15">
        <f t="shared" si="165"/>
        <v>234673.99180643796</v>
      </c>
      <c r="EC141" s="15">
        <f>IF(DP141=0,EC140,IF(DO141&lt;=$EK$88+$C$10,ABS(DP141)+EC140,EC140))</f>
        <v>430891.77838569693</v>
      </c>
      <c r="ED141" s="15">
        <f t="shared" si="89"/>
        <v>817369.28832590312</v>
      </c>
      <c r="EE141" s="16">
        <f t="shared" si="90"/>
        <v>14377600.984604504</v>
      </c>
      <c r="EF141" s="15">
        <f t="shared" si="142"/>
        <v>220143.96497824098</v>
      </c>
      <c r="EG141" s="15">
        <f t="shared" si="91"/>
        <v>3445380.8625319963</v>
      </c>
      <c r="EH141" s="16"/>
      <c r="EI141" s="16"/>
      <c r="EJ141"/>
      <c r="EK141"/>
      <c r="EL141"/>
      <c r="EM141" s="28">
        <f t="shared" si="92"/>
        <v>2082</v>
      </c>
      <c r="EN141" s="29">
        <f>IF($C$13+$C$10&gt;=EM141,-(AG141),IF(EM141=$C$13+$C$10+1,$FB$93,0))</f>
        <v>0</v>
      </c>
      <c r="EO141" s="30">
        <f t="shared" si="93"/>
        <v>422116.26948149368</v>
      </c>
      <c r="EP141" s="30">
        <f t="shared" si="94"/>
        <v>16240574.606459757</v>
      </c>
      <c r="EQ141" s="30">
        <f t="shared" si="166"/>
        <v>-1373.1064322351772</v>
      </c>
      <c r="ER141" s="25">
        <f t="shared" si="143"/>
        <v>17375945.605029449</v>
      </c>
      <c r="ES141" s="30">
        <f t="shared" si="95"/>
        <v>1136744.1050019264</v>
      </c>
      <c r="ET141" s="26">
        <f t="shared" si="144"/>
        <v>7957.2087350134861</v>
      </c>
      <c r="EU141" s="30">
        <f t="shared" si="96"/>
        <v>7957.2087350134861</v>
      </c>
      <c r="EV141" s="25">
        <f t="shared" si="145"/>
        <v>1469.0996627018646</v>
      </c>
      <c r="EW141" s="31">
        <f t="shared" si="97"/>
        <v>118676.80534883557</v>
      </c>
      <c r="EX141" s="27">
        <f>IF(EM141=0,EX140,IF(EM141&lt;=$FB$88+$C$10,ABS(EN141)+EX140,EX140))</f>
        <v>430891.77838569693</v>
      </c>
      <c r="EY141" s="15"/>
      <c r="EZ141"/>
      <c r="FA141"/>
      <c r="FB141"/>
      <c r="FC141" s="74"/>
      <c r="FD141" s="74"/>
      <c r="FE141" s="74"/>
      <c r="FF141" s="74"/>
      <c r="FG141" s="74"/>
      <c r="FH141" s="74"/>
      <c r="FI141" s="74"/>
      <c r="FJ141" s="28">
        <f t="shared" si="98"/>
        <v>2082</v>
      </c>
      <c r="FK141" s="65">
        <f>IF($C$13+$C$10&gt;=FJ141,-AG141,IF(FJ141=$C$13+$C$10+1,$EK$93,0))</f>
        <v>0</v>
      </c>
      <c r="FL141" s="65">
        <f t="shared" si="99"/>
        <v>74118.803999999975</v>
      </c>
      <c r="FM141" s="65">
        <f t="shared" si="100"/>
        <v>1277760.0817575047</v>
      </c>
      <c r="FN141" s="65">
        <f t="shared" si="167"/>
        <v>0</v>
      </c>
      <c r="FO141" s="65">
        <f t="shared" si="146"/>
        <v>1367203.2874805301</v>
      </c>
      <c r="FP141" s="65">
        <f t="shared" si="101"/>
        <v>89443.20572302537</v>
      </c>
      <c r="FQ141" s="59">
        <f t="shared" si="147"/>
        <v>626.10244006117728</v>
      </c>
      <c r="FR141" s="60">
        <f t="shared" si="148"/>
        <v>27344.065749610603</v>
      </c>
      <c r="FS141" s="65">
        <f t="shared" si="102"/>
        <v>0</v>
      </c>
      <c r="FT141" s="65">
        <f t="shared" si="103"/>
        <v>0</v>
      </c>
      <c r="FU141" s="65">
        <f t="shared" si="149"/>
        <v>0</v>
      </c>
      <c r="FV141" s="65">
        <f t="shared" si="168"/>
        <v>4837.1343890218568</v>
      </c>
      <c r="FW141" s="61">
        <f t="shared" si="169"/>
        <v>22506.931360588747</v>
      </c>
      <c r="FX141" s="61">
        <f>IF(AND(FJ141&lt;=$GF$88+$C$10,FV140&lt;=0,FN141&gt;0),(FJ141-$C$10+1)*AG141+$GF$80,FX140)</f>
        <v>73074.599999999977</v>
      </c>
      <c r="FY141" s="62">
        <f t="shared" si="170"/>
        <v>22.896187296788288</v>
      </c>
      <c r="FZ141" s="63">
        <f t="shared" si="104"/>
        <v>1367203.2874805301</v>
      </c>
      <c r="GA141" s="64">
        <f t="shared" si="105"/>
        <v>26076.736362398056</v>
      </c>
      <c r="GB141" s="64">
        <f t="shared" si="106"/>
        <v>529998.42271626706</v>
      </c>
      <c r="GC141" s="66">
        <f t="shared" si="150"/>
        <v>0</v>
      </c>
      <c r="GD141" s="64">
        <f t="shared" si="107"/>
        <v>1580.6039999999994</v>
      </c>
      <c r="GE141"/>
      <c r="GF141"/>
      <c r="GG141" s="74"/>
      <c r="GH141" s="74"/>
      <c r="GI141" s="28">
        <f t="shared" si="108"/>
        <v>2082</v>
      </c>
      <c r="GJ141" s="9">
        <f>IF($GX$88+$C$10&gt;=GI141,-AG141,IF(GI141=$GX$88+$C$10+1,$FB$93,0))</f>
        <v>0</v>
      </c>
      <c r="GK141" s="5">
        <f t="shared" si="109"/>
        <v>783910.59511297778</v>
      </c>
      <c r="GL141" s="5">
        <f t="shared" si="110"/>
        <v>14510620.781897394</v>
      </c>
      <c r="GM141" s="35">
        <f t="shared" si="171"/>
        <v>20246.740187368516</v>
      </c>
      <c r="GN141" s="4">
        <f t="shared" si="151"/>
        <v>15548028.248630697</v>
      </c>
      <c r="GO141" s="5">
        <f t="shared" si="111"/>
        <v>1017160.7265459336</v>
      </c>
      <c r="GP141" s="5">
        <f t="shared" si="152"/>
        <v>7120.1250858215335</v>
      </c>
      <c r="GQ141" s="5">
        <f t="shared" si="112"/>
        <v>7120.1250858215335</v>
      </c>
      <c r="GR141" s="4">
        <f t="shared" si="153"/>
        <v>1314.5530939698006</v>
      </c>
      <c r="GS141" s="7">
        <f t="shared" si="113"/>
        <v>103348.82357462395</v>
      </c>
      <c r="GT141" s="107" t="e">
        <f>IF($DG$62=0,EX141,IF(GI141-$C$10+1&lt;=$GF$98,0,#REF!-FX141))</f>
        <v>#REF!</v>
      </c>
      <c r="GU141"/>
      <c r="GV141"/>
      <c r="GW141"/>
      <c r="GX141"/>
      <c r="GY141" s="74"/>
      <c r="GZ141" s="74"/>
      <c r="HA141" s="74"/>
      <c r="HB141" s="74"/>
      <c r="HC141" s="74"/>
      <c r="HD141" s="74"/>
    </row>
    <row r="142" spans="2:212" ht="16.149999999999999" thickBot="1" x14ac:dyDescent="0.55000000000000004">
      <c r="B142" s="333"/>
      <c r="C142" s="75"/>
      <c r="D142" s="75"/>
      <c r="F142" s="75"/>
      <c r="G142" s="75"/>
      <c r="H142" s="75"/>
      <c r="I142" s="75"/>
      <c r="J142" s="75"/>
      <c r="K142" s="75"/>
      <c r="L142" s="75"/>
      <c r="M142" s="75"/>
      <c r="O142" s="75"/>
      <c r="P142" s="75"/>
      <c r="Q142" s="75"/>
      <c r="R142" s="75"/>
      <c r="AB142" s="117" t="str">
        <f t="shared" si="34"/>
        <v/>
      </c>
      <c r="AC142" s="117" t="str">
        <f t="shared" si="35"/>
        <v/>
      </c>
      <c r="AD142" s="299">
        <f>IF($C$20="NEIN",$C$21,IF($C$22="JA",'HISTORISCHE RENDITEN'!E66,'HISTORISCHE RENDITEN'!D66))</f>
        <v>0.21190000000000001</v>
      </c>
      <c r="AE142" s="129">
        <f t="shared" si="174"/>
        <v>90</v>
      </c>
      <c r="AF142" s="120">
        <f t="shared" si="154"/>
        <v>2083</v>
      </c>
      <c r="AG142" s="122">
        <f t="shared" si="123"/>
        <v>0</v>
      </c>
      <c r="AH142" s="124">
        <f t="shared" si="155"/>
        <v>430891.77838569693</v>
      </c>
      <c r="AI142" s="296">
        <f t="shared" si="114"/>
        <v>903970.45875247719</v>
      </c>
      <c r="AJ142" s="123">
        <f t="shared" si="67"/>
        <v>0</v>
      </c>
      <c r="AK142" s="124">
        <f t="shared" si="156"/>
        <v>1095521.7989621272</v>
      </c>
      <c r="AL142" s="122">
        <f t="shared" si="124"/>
        <v>191551.34020964999</v>
      </c>
      <c r="AM142" s="122">
        <f>IF($C$25="Ausschütter",0,IF(AL142&gt;=0,(AI142+AJ142)*$C$48*0.7))</f>
        <v>442.94552478871378</v>
      </c>
      <c r="AN142" s="122">
        <f t="shared" si="125"/>
        <v>0</v>
      </c>
      <c r="AO142" s="122">
        <f t="shared" si="39"/>
        <v>442.94552478871378</v>
      </c>
      <c r="AP142" s="122">
        <f t="shared" si="69"/>
        <v>21523.868436383797</v>
      </c>
      <c r="AQ142" s="122">
        <f>IF($C$25="AUSSCHÜTTER",0,IF(AO142*$C$46*$C$49&lt;=$C$47,0,AO142*$C$46*$C$49))</f>
        <v>0</v>
      </c>
      <c r="AR142" s="122">
        <f>IF(AO141*$C$49&gt;$C$47,(AN142)*$C$49*$C$46,IF((AO141+AN142)*$C$49&gt;$C$47,((AO141+AN142)*$C$49-$C$47)*$C$46,0))</f>
        <v>0</v>
      </c>
      <c r="AS142" s="122">
        <f t="shared" si="70"/>
        <v>0</v>
      </c>
      <c r="AT142" s="122">
        <f t="shared" si="157"/>
        <v>430891.77838569693</v>
      </c>
      <c r="AU142" s="122">
        <f t="shared" si="115"/>
        <v>0</v>
      </c>
      <c r="AV142" s="122">
        <f t="shared" si="71"/>
        <v>1095521.7989621272</v>
      </c>
      <c r="AW142" s="122">
        <f t="shared" si="158"/>
        <v>0</v>
      </c>
      <c r="AX142" s="130">
        <f t="shared" si="159"/>
        <v>0</v>
      </c>
      <c r="AY142" s="82">
        <f>IF(AF142&lt;$C$11,$C$15*(1+$C$19)^(AF142-$C$10),0)</f>
        <v>0</v>
      </c>
      <c r="AZ142" s="82">
        <f>$C$14*(1+$C$37)^(AF142-$C$10)</f>
        <v>83205.523887278308</v>
      </c>
      <c r="BA142" s="165">
        <f>IF(AF142&lt;$C$11,0,MAX($C$38*AI142,AZ142))</f>
        <v>83205.523887278308</v>
      </c>
      <c r="BB142" s="82">
        <f>IF(AF142&lt;$C$11,0,MAX($C$38*AI142,AZ142))</f>
        <v>83205.523887278308</v>
      </c>
      <c r="BC142" s="136">
        <f>IF($C$39="JA",CT142,DG142)</f>
        <v>21945.456925269653</v>
      </c>
      <c r="BD142" s="82">
        <f t="shared" si="126"/>
        <v>0</v>
      </c>
      <c r="BE142" s="82">
        <f>IF(AF142&lt;($C$8+$C$30),0,$C$29*12*(1-$C$31))</f>
        <v>0</v>
      </c>
      <c r="BF142" s="82">
        <f>IF(AF142&lt;($C$8+$C$34),0,$C$33*12*(1-$C$35))</f>
        <v>0</v>
      </c>
      <c r="BG142" s="82">
        <f>IF(AF142&lt;$C$11,0,IF(AI142&lt;0,$C$42*(1+$C$44)^(AF142-$C$10),IF(((AL142+BE142+BF142)*$C$41)&lt;$C$42*(1+$C$44)^(AF142-$C$10),$C$42*(1+$C$44)^(AF142-$C$10),IF(((AL142+BE142+BF142)*$C$41)&lt;$C$43*(1+$C$44)^(AF142-$C$10),(AL142+BE142+BF142)*$C$41,IF(((AL142+BE142+BF142+BB142)*$C$41)&lt;$C$43*(1+$C$44)^(AF142-$C$10),((AL142+BE142+BF142+BB142)*$C$41),$C$43*(1+$C$44)^(AF142-$C$10))))))</f>
        <v>27184.313808827392</v>
      </c>
      <c r="BH142" s="82">
        <f t="shared" si="72"/>
        <v>132335.29462137536</v>
      </c>
      <c r="BI142" s="242">
        <f t="shared" si="73"/>
        <v>1095521.7989621272</v>
      </c>
      <c r="BJ142" s="217">
        <f t="shared" si="74"/>
        <v>963186.5043407518</v>
      </c>
      <c r="BK142" s="118"/>
      <c r="BL142" s="219">
        <f t="shared" si="127"/>
        <v>46</v>
      </c>
      <c r="BM142" s="220">
        <f t="shared" si="128"/>
        <v>63</v>
      </c>
      <c r="BN142" s="220">
        <f t="shared" si="173"/>
        <v>0</v>
      </c>
      <c r="BO142" s="221">
        <f t="shared" si="129"/>
        <v>0</v>
      </c>
      <c r="BP142" s="221">
        <f t="shared" si="130"/>
        <v>0</v>
      </c>
      <c r="BQ142" s="222">
        <f t="shared" si="9"/>
        <v>0</v>
      </c>
      <c r="BR142" s="223">
        <f>IF(BM142&lt;$C$11-$C$10+1,0,IF(BL142&lt;=$C$13,VLOOKUP(BL142,$BN$80:$BQ$156,2,FALSE)-BS142,0))</f>
        <v>0</v>
      </c>
      <c r="BS142" s="223">
        <f>IF(BM142&lt;$C$11-$C$10+1,0,IF(BL142&lt;=$C$13,VLOOKUP(BL142,$BN$80:$BQ$156,3,FALSE),0))</f>
        <v>0</v>
      </c>
      <c r="BT142" s="222">
        <f>IF(BM142&lt;$C$11-$C$10+1,0,IF(BL142&lt;=$C$13,VLOOKUP(BL142,$BN$80:$BQ$156,4,FALSE),0))</f>
        <v>0</v>
      </c>
      <c r="BU142" s="223">
        <f t="shared" si="160"/>
        <v>0</v>
      </c>
      <c r="BV142" s="223">
        <f t="shared" si="161"/>
        <v>0</v>
      </c>
      <c r="BW142" s="223">
        <f t="shared" si="118"/>
        <v>0</v>
      </c>
      <c r="BX142" s="223">
        <f>IF(AND(BS142&lt;=0,BN142=0),MIN((MAX($BZ$80:$BZ$156)-SUM($BX$80:BX141)),CA142),IF(BS142&lt;CA142,BS142,CA142))</f>
        <v>0</v>
      </c>
      <c r="BY142" s="222">
        <f>IF(BN142&gt;0,0,IF(AND(BN142=0,BT142&lt;=0),100%,((BW141*(AVERAGE($BT$80:BT141))+(BR142*BT142))/(BR142+BW141+BS142+BV141))))</f>
        <v>1</v>
      </c>
      <c r="BZ142" s="139">
        <f t="shared" si="162"/>
        <v>430891.77838569693</v>
      </c>
      <c r="CA142" s="122">
        <f t="shared" si="131"/>
        <v>83205.523887278308</v>
      </c>
      <c r="CB142" s="181">
        <f t="shared" si="47"/>
        <v>1</v>
      </c>
      <c r="CC142" s="122">
        <f t="shared" si="48"/>
        <v>2503669.0288010426</v>
      </c>
      <c r="CD142" s="182">
        <f t="shared" si="119"/>
        <v>0</v>
      </c>
      <c r="CE142" s="122">
        <f t="shared" si="75"/>
        <v>430891.77838569693</v>
      </c>
      <c r="CF142" s="122">
        <f t="shared" si="76"/>
        <v>0</v>
      </c>
      <c r="CG142" s="122" t="str">
        <f t="shared" si="132"/>
        <v/>
      </c>
      <c r="CH142" s="140">
        <f t="shared" si="133"/>
        <v>1</v>
      </c>
      <c r="CI142" s="142">
        <f t="shared" si="77"/>
        <v>9984</v>
      </c>
      <c r="CJ142" s="134">
        <f>CI142*$C$57</f>
        <v>0</v>
      </c>
      <c r="CK142" s="142">
        <f t="shared" si="78"/>
        <v>14926</v>
      </c>
      <c r="CL142" s="134">
        <f>CK142*$C$57</f>
        <v>0</v>
      </c>
      <c r="CM142" s="142">
        <f t="shared" si="79"/>
        <v>58596</v>
      </c>
      <c r="CN142" s="134">
        <f>CM142*$C$57</f>
        <v>0</v>
      </c>
      <c r="CO142" s="132">
        <f t="shared" si="117"/>
        <v>83205.523887278308</v>
      </c>
      <c r="CP142" s="140">
        <f t="shared" si="134"/>
        <v>0.42</v>
      </c>
      <c r="CQ142" s="121" t="str">
        <f>IF($C$50="NEIN","NEIN",IF(CS142&lt;CR142,"JA","NEIN"))</f>
        <v>NEIN</v>
      </c>
      <c r="CR142" s="121">
        <f>CO142*$C$46</f>
        <v>21945.456925269653</v>
      </c>
      <c r="CS142" s="121">
        <f t="shared" si="135"/>
        <v>25678.790032656892</v>
      </c>
      <c r="CT142" s="201">
        <f>IF($C$50="NEIN",CR142,IF(CQ142="NEIN",CR142,CS142))</f>
        <v>21945.456925269653</v>
      </c>
      <c r="CU142" s="149"/>
      <c r="CV142" s="202">
        <f t="shared" si="80"/>
        <v>9984</v>
      </c>
      <c r="CW142" s="134">
        <f>CV142*$C$57</f>
        <v>0</v>
      </c>
      <c r="CX142" s="142">
        <f t="shared" si="81"/>
        <v>14926</v>
      </c>
      <c r="CY142" s="134">
        <f>CX142*$C$57</f>
        <v>0</v>
      </c>
      <c r="CZ142" s="142">
        <f t="shared" si="82"/>
        <v>58596</v>
      </c>
      <c r="DA142" s="143">
        <f>CZ142*$C$57</f>
        <v>0</v>
      </c>
      <c r="DB142" s="165">
        <f t="shared" si="120"/>
        <v>83205.523887278308</v>
      </c>
      <c r="DC142" s="140">
        <f t="shared" si="136"/>
        <v>0.42</v>
      </c>
      <c r="DD142" s="121" t="str">
        <f>IF($C$50="NEIN","NEIN",IF(DF142&lt;DE142,"JA","NEIN"))</f>
        <v>NEIN</v>
      </c>
      <c r="DE142" s="121">
        <f>DB142*$C$46</f>
        <v>21945.456925269653</v>
      </c>
      <c r="DF142" s="121">
        <f t="shared" si="137"/>
        <v>25678.790032656892</v>
      </c>
      <c r="DG142" s="201">
        <f>IF($C$50="NEIN",DE142,IF(DD142="NEIN",DE142,DF142))</f>
        <v>21945.456925269653</v>
      </c>
      <c r="DH142" s="159"/>
      <c r="DI142" s="74"/>
      <c r="DJ142" s="74"/>
      <c r="DK142" s="128"/>
      <c r="DL142" s="128"/>
      <c r="DM142" s="128"/>
      <c r="DN142" s="74"/>
      <c r="DO142" s="28">
        <f t="shared" si="83"/>
        <v>2083</v>
      </c>
      <c r="DP142" s="17">
        <f>IF($C$13+$C$10&gt;=DO142,-AG142,IF(DO142=$C$13+$C$10+1,$EK$93,0))</f>
        <v>0</v>
      </c>
      <c r="DQ142" s="17">
        <f t="shared" si="84"/>
        <v>4110946.6327241315</v>
      </c>
      <c r="DR142" s="17">
        <f t="shared" si="85"/>
        <v>14090048.964912415</v>
      </c>
      <c r="DS142" s="17">
        <f t="shared" si="163"/>
        <v>234673.99180643796</v>
      </c>
      <c r="DT142" s="17">
        <f t="shared" si="138"/>
        <v>15327453.563689174</v>
      </c>
      <c r="DU142" s="17">
        <f t="shared" si="86"/>
        <v>1002730.6069703214</v>
      </c>
      <c r="DV142" s="33">
        <f t="shared" si="139"/>
        <v>7019.114248792237</v>
      </c>
      <c r="DW142" s="32">
        <f t="shared" si="140"/>
        <v>306549.07127378351</v>
      </c>
      <c r="DX142" s="17">
        <f t="shared" si="87"/>
        <v>0</v>
      </c>
      <c r="DY142" s="17">
        <f t="shared" si="88"/>
        <v>0</v>
      </c>
      <c r="DZ142" s="17">
        <f t="shared" si="141"/>
        <v>0</v>
      </c>
      <c r="EA142" s="17">
        <f t="shared" si="164"/>
        <v>56385.358533922277</v>
      </c>
      <c r="EB142" s="15">
        <f t="shared" si="165"/>
        <v>250163.71273986122</v>
      </c>
      <c r="EC142" s="15">
        <f>IF(DP142=0,EC141,IF(DO142&lt;=$EK$88+$C$10,ABS(DP142)+EC141,EC141))</f>
        <v>430891.77838569693</v>
      </c>
      <c r="ED142" s="15">
        <f t="shared" si="89"/>
        <v>873754.64685982536</v>
      </c>
      <c r="EE142" s="16">
        <f t="shared" si="90"/>
        <v>15327453.563689174</v>
      </c>
      <c r="EF142" s="15">
        <f t="shared" si="142"/>
        <v>234673.99180643796</v>
      </c>
      <c r="EG142" s="15">
        <f t="shared" si="91"/>
        <v>3680054.8543384345</v>
      </c>
      <c r="EH142" s="16"/>
      <c r="EI142" s="16"/>
      <c r="EJ142"/>
      <c r="EK142"/>
      <c r="EL142"/>
      <c r="EM142" s="28">
        <f t="shared" si="92"/>
        <v>2083</v>
      </c>
      <c r="EN142" s="29">
        <f>IF($C$13+$C$10&gt;=EM142,-(AG142),IF(EM142=$C$13+$C$10+1,$FB$93,0))</f>
        <v>0</v>
      </c>
      <c r="EO142" s="30">
        <f t="shared" si="93"/>
        <v>420647.16981879179</v>
      </c>
      <c r="EP142" s="30">
        <f t="shared" si="94"/>
        <v>17375945.605029449</v>
      </c>
      <c r="EQ142" s="30">
        <f t="shared" si="166"/>
        <v>-1469.0996627018646</v>
      </c>
      <c r="ER142" s="25">
        <f t="shared" si="143"/>
        <v>18590689.86074242</v>
      </c>
      <c r="ES142" s="30">
        <f t="shared" si="95"/>
        <v>1216213.3553756736</v>
      </c>
      <c r="ET142" s="26">
        <f t="shared" si="144"/>
        <v>8513.4934876297048</v>
      </c>
      <c r="EU142" s="30">
        <f t="shared" si="96"/>
        <v>8513.4934876297048</v>
      </c>
      <c r="EV142" s="25">
        <f t="shared" si="145"/>
        <v>1571.8037351536341</v>
      </c>
      <c r="EW142" s="31">
        <f t="shared" si="97"/>
        <v>127190.29883646527</v>
      </c>
      <c r="EX142" s="27">
        <f>IF(EM142=0,EX141,IF(EM142&lt;=$FB$88+$C$10,ABS(EN142)+EX141,EX141))</f>
        <v>430891.77838569693</v>
      </c>
      <c r="EY142" s="15"/>
      <c r="EZ142"/>
      <c r="FA142"/>
      <c r="FB142"/>
      <c r="FC142" s="74"/>
      <c r="FD142" s="74"/>
      <c r="FE142" s="74"/>
      <c r="FF142" s="74"/>
      <c r="FG142" s="74"/>
      <c r="FH142" s="74"/>
      <c r="FI142" s="74"/>
      <c r="FJ142" s="28">
        <f t="shared" si="98"/>
        <v>2083</v>
      </c>
      <c r="FK142" s="65">
        <f>IF($C$13+$C$10&gt;=FJ142,-AG142,IF(FJ142=$C$13+$C$10+1,$EK$93,0))</f>
        <v>0</v>
      </c>
      <c r="FL142" s="65">
        <f t="shared" si="99"/>
        <v>74118.803999999975</v>
      </c>
      <c r="FM142" s="65">
        <f t="shared" si="100"/>
        <v>1339859.2217309196</v>
      </c>
      <c r="FN142" s="65">
        <f t="shared" si="167"/>
        <v>0</v>
      </c>
      <c r="FO142" s="65">
        <f t="shared" si="146"/>
        <v>1433649.367252084</v>
      </c>
      <c r="FP142" s="65">
        <f t="shared" si="101"/>
        <v>93790.145521164406</v>
      </c>
      <c r="FQ142" s="59">
        <f t="shared" si="147"/>
        <v>656.53101864815051</v>
      </c>
      <c r="FR142" s="60">
        <f t="shared" si="148"/>
        <v>28672.987345041678</v>
      </c>
      <c r="FS142" s="65">
        <f t="shared" si="102"/>
        <v>0</v>
      </c>
      <c r="FT142" s="65">
        <f t="shared" si="103"/>
        <v>0</v>
      </c>
      <c r="FU142" s="65">
        <f t="shared" si="149"/>
        <v>0</v>
      </c>
      <c r="FV142" s="65">
        <f t="shared" si="168"/>
        <v>5082.4865385783196</v>
      </c>
      <c r="FW142" s="61">
        <f t="shared" si="169"/>
        <v>23590.500806463358</v>
      </c>
      <c r="FX142" s="61">
        <f>IF(AND(FJ142&lt;=$GF$88+$C$10,FV141&lt;=0,FN142&gt;0),(FJ142-$C$10+1)*AG142+$GF$80,FX141)</f>
        <v>73074.599999999977</v>
      </c>
      <c r="FY142" s="62">
        <f t="shared" si="170"/>
        <v>24.057541999412202</v>
      </c>
      <c r="FZ142" s="63">
        <f t="shared" si="104"/>
        <v>1433649.367252084</v>
      </c>
      <c r="GA142" s="64">
        <f t="shared" si="105"/>
        <v>27344.065749610603</v>
      </c>
      <c r="GB142" s="64">
        <f t="shared" si="106"/>
        <v>557342.48846587772</v>
      </c>
      <c r="GC142" s="66">
        <f t="shared" si="150"/>
        <v>0</v>
      </c>
      <c r="GD142" s="64">
        <f t="shared" si="107"/>
        <v>1580.6039999999994</v>
      </c>
      <c r="GE142"/>
      <c r="GF142"/>
      <c r="GG142" s="74"/>
      <c r="GH142" s="74"/>
      <c r="GI142" s="28">
        <f t="shared" si="108"/>
        <v>2083</v>
      </c>
      <c r="GJ142" s="9">
        <f>IF($GX$88+$C$10&gt;=GI142,-AG142,IF(GI142=$GX$88+$C$10+1,$FB$93,0))</f>
        <v>0</v>
      </c>
      <c r="GK142" s="5">
        <f t="shared" si="109"/>
        <v>805102.97337959672</v>
      </c>
      <c r="GL142" s="5">
        <f t="shared" si="110"/>
        <v>15548028.248630697</v>
      </c>
      <c r="GM142" s="35">
        <f t="shared" si="171"/>
        <v>21192.378266618947</v>
      </c>
      <c r="GN142" s="4">
        <f t="shared" si="151"/>
        <v>16659066.07078013</v>
      </c>
      <c r="GO142" s="5">
        <f t="shared" si="111"/>
        <v>1089845.4438828137</v>
      </c>
      <c r="GP142" s="5">
        <f t="shared" si="152"/>
        <v>7628.9181071796838</v>
      </c>
      <c r="GQ142" s="5">
        <f t="shared" si="112"/>
        <v>7628.9181071796838</v>
      </c>
      <c r="GR142" s="4">
        <f t="shared" si="153"/>
        <v>1408.489005538049</v>
      </c>
      <c r="GS142" s="7">
        <f t="shared" si="113"/>
        <v>110977.74168180363</v>
      </c>
      <c r="GT142" s="107" t="e">
        <f>IF($DG$62=0,EX142,IF(GI142-$C$10+1&lt;=$GF$98,0,#REF!-FX142))</f>
        <v>#REF!</v>
      </c>
      <c r="GU142"/>
      <c r="GV142"/>
      <c r="GW142"/>
      <c r="GX142"/>
      <c r="GY142" s="74"/>
      <c r="GZ142" s="74"/>
      <c r="HA142" s="74"/>
      <c r="HB142" s="74"/>
      <c r="HC142" s="74"/>
      <c r="HD142" s="74"/>
    </row>
    <row r="143" spans="2:212" ht="16.149999999999999" thickBot="1" x14ac:dyDescent="0.55000000000000004">
      <c r="B143" s="333"/>
      <c r="C143" s="75"/>
      <c r="D143" s="75"/>
      <c r="F143" s="75"/>
      <c r="G143" s="75"/>
      <c r="H143" s="75"/>
      <c r="I143" s="75"/>
      <c r="J143" s="75"/>
      <c r="K143" s="75"/>
      <c r="L143" s="75"/>
      <c r="M143" s="75"/>
      <c r="O143" s="75"/>
      <c r="P143" s="75"/>
      <c r="Q143" s="75"/>
      <c r="R143" s="75"/>
      <c r="S143" s="290"/>
      <c r="T143" s="291"/>
      <c r="U143" s="291"/>
      <c r="V143" s="292"/>
      <c r="W143" s="292"/>
      <c r="AB143" s="117" t="str">
        <f t="shared" si="34"/>
        <v/>
      </c>
      <c r="AC143" s="117" t="str">
        <f t="shared" si="35"/>
        <v/>
      </c>
      <c r="AD143" s="299">
        <f>IF($C$20="NEIN",$C$21,IF($C$22="JA",'HISTORISCHE RENDITEN'!E67,'HISTORISCHE RENDITEN'!D67))</f>
        <v>0.14749999999999999</v>
      </c>
      <c r="AE143" s="129">
        <f t="shared" si="174"/>
        <v>91</v>
      </c>
      <c r="AF143" s="120">
        <f t="shared" si="154"/>
        <v>2084</v>
      </c>
      <c r="AG143" s="122">
        <f t="shared" si="123"/>
        <v>0</v>
      </c>
      <c r="AH143" s="124">
        <f t="shared" si="155"/>
        <v>430891.77838569693</v>
      </c>
      <c r="AI143" s="296">
        <f t="shared" si="114"/>
        <v>963186.5043407518</v>
      </c>
      <c r="AJ143" s="123">
        <f t="shared" si="67"/>
        <v>0</v>
      </c>
      <c r="AK143" s="124">
        <f t="shared" si="156"/>
        <v>1105256.5137310126</v>
      </c>
      <c r="AL143" s="122">
        <f t="shared" si="124"/>
        <v>142070.00939026079</v>
      </c>
      <c r="AM143" s="122">
        <f>IF($C$25="Ausschütter",0,IF(AL143&gt;=0,(AI143+AJ143)*$C$48*0.7))</f>
        <v>471.96138712696836</v>
      </c>
      <c r="AN143" s="122">
        <f t="shared" si="125"/>
        <v>0</v>
      </c>
      <c r="AO143" s="122">
        <f t="shared" si="39"/>
        <v>471.96138712696836</v>
      </c>
      <c r="AP143" s="122">
        <f t="shared" si="69"/>
        <v>21995.829823510765</v>
      </c>
      <c r="AQ143" s="122">
        <f>IF($C$25="AUSSCHÜTTER",0,IF(AO143*$C$46*$C$49&lt;=$C$47,0,AO143*$C$46*$C$49))</f>
        <v>0</v>
      </c>
      <c r="AR143" s="122">
        <f>IF(AO142*$C$49&gt;$C$47,(AN143)*$C$49*$C$46,IF((AO142+AN143)*$C$49&gt;$C$47,((AO142+AN143)*$C$49-$C$47)*$C$46,0))</f>
        <v>0</v>
      </c>
      <c r="AS143" s="122">
        <f t="shared" si="70"/>
        <v>0</v>
      </c>
      <c r="AT143" s="122">
        <f t="shared" si="157"/>
        <v>430891.77838569693</v>
      </c>
      <c r="AU143" s="122">
        <f t="shared" si="115"/>
        <v>0</v>
      </c>
      <c r="AV143" s="122">
        <f t="shared" si="71"/>
        <v>1105256.5137310126</v>
      </c>
      <c r="AW143" s="122">
        <f t="shared" si="158"/>
        <v>0</v>
      </c>
      <c r="AX143" s="130">
        <f t="shared" si="159"/>
        <v>0</v>
      </c>
      <c r="AY143" s="82">
        <f>IF(AF143&lt;$C$11,$C$15*(1+$C$19)^(AF143-$C$10),0)</f>
        <v>0</v>
      </c>
      <c r="AZ143" s="82">
        <f>$C$14*(1+$C$37)^(AF143-$C$10)</f>
        <v>85285.661984460283</v>
      </c>
      <c r="BA143" s="165">
        <f>IF(AF143&lt;$C$11,0,MAX($C$38*AI143,AZ143))</f>
        <v>85285.661984460283</v>
      </c>
      <c r="BB143" s="82">
        <f>IF(AF143&lt;$C$11,0,MAX($C$38*AI143,AZ143))</f>
        <v>85285.661984460283</v>
      </c>
      <c r="BC143" s="136">
        <f>IF($C$39="JA",CT143,DG143)</f>
        <v>22494.093348401399</v>
      </c>
      <c r="BD143" s="82">
        <f t="shared" si="126"/>
        <v>0</v>
      </c>
      <c r="BE143" s="82">
        <f>IF(AF143&lt;($C$8+$C$30),0,$C$29*12*(1-$C$31))</f>
        <v>0</v>
      </c>
      <c r="BF143" s="82">
        <f>IF(AF143&lt;($C$8+$C$34),0,$C$33*12*(1-$C$35))</f>
        <v>0</v>
      </c>
      <c r="BG143" s="82">
        <f>IF(AF143&lt;$C$11,0,IF(AI143&lt;0,$C$42*(1+$C$44)^(AF143-$C$10),IF(((AL143+BE143+BF143)*$C$41)&lt;$C$42*(1+$C$44)^(AF143-$C$10),$C$42*(1+$C$44)^(AF143-$C$10),IF(((AL143+BE143+BF143)*$C$41)&lt;$C$43*(1+$C$44)^(AF143-$C$10),(AL143+BE143+BF143)*$C$41,IF(((AL143+BE143+BF143+BB143)*$C$41)&lt;$C$43*(1+$C$44)^(AF143-$C$10),((AL143+BE143+BF143+BB143)*$C$41),$C$43*(1+$C$44)^(AF143-$C$10))))))</f>
        <v>26993.301784149549</v>
      </c>
      <c r="BH143" s="82">
        <f t="shared" si="72"/>
        <v>134773.05711701122</v>
      </c>
      <c r="BI143" s="242">
        <f t="shared" si="73"/>
        <v>1105256.5137310126</v>
      </c>
      <c r="BJ143" s="217">
        <f t="shared" si="74"/>
        <v>970483.45661400142</v>
      </c>
      <c r="BK143" s="118"/>
      <c r="BL143" s="219">
        <f t="shared" si="127"/>
        <v>47</v>
      </c>
      <c r="BM143" s="220">
        <f t="shared" si="128"/>
        <v>64</v>
      </c>
      <c r="BN143" s="220">
        <f t="shared" si="173"/>
        <v>0</v>
      </c>
      <c r="BO143" s="221">
        <f t="shared" si="129"/>
        <v>0</v>
      </c>
      <c r="BP143" s="221">
        <f t="shared" si="130"/>
        <v>0</v>
      </c>
      <c r="BQ143" s="222">
        <f t="shared" si="9"/>
        <v>0</v>
      </c>
      <c r="BR143" s="223">
        <f>IF(BM143&lt;$C$11-$C$10+1,0,IF(BL143&lt;=$C$13,VLOOKUP(BL143,$BN$80:$BQ$156,2,FALSE)-BS143,0))</f>
        <v>0</v>
      </c>
      <c r="BS143" s="223">
        <f>IF(BM143&lt;$C$11-$C$10+1,0,IF(BL143&lt;=$C$13,VLOOKUP(BL143,$BN$80:$BQ$156,3,FALSE),0))</f>
        <v>0</v>
      </c>
      <c r="BT143" s="222">
        <f>IF(BM143&lt;$C$11-$C$10+1,0,IF(BL143&lt;=$C$13,VLOOKUP(BL143,$BN$80:$BQ$156,4,FALSE),0))</f>
        <v>0</v>
      </c>
      <c r="BU143" s="223">
        <f t="shared" si="160"/>
        <v>0</v>
      </c>
      <c r="BV143" s="223">
        <f t="shared" si="161"/>
        <v>0</v>
      </c>
      <c r="BW143" s="223">
        <f t="shared" si="118"/>
        <v>0</v>
      </c>
      <c r="BX143" s="223">
        <f>IF(AND(BS143&lt;=0,BN143=0),MIN((MAX($BZ$80:$BZ$156)-SUM($BX$80:BX142)),CA143),IF(BS143&lt;CA143,BS143,CA143))</f>
        <v>0</v>
      </c>
      <c r="BY143" s="222">
        <f>IF(BN143&gt;0,0,IF(AND(BN143=0,BT143&lt;=0),100%,((BW142*(AVERAGE($BT$80:BT142))+(BR143*BT143))/(BR143+BW142+BS143+BV142))))</f>
        <v>1</v>
      </c>
      <c r="BZ143" s="139">
        <f t="shared" si="162"/>
        <v>430891.77838569693</v>
      </c>
      <c r="CA143" s="122">
        <f t="shared" si="131"/>
        <v>85285.661984460283</v>
      </c>
      <c r="CB143" s="181">
        <f t="shared" si="47"/>
        <v>1</v>
      </c>
      <c r="CC143" s="122">
        <f t="shared" si="48"/>
        <v>2588954.690785503</v>
      </c>
      <c r="CD143" s="182">
        <f t="shared" si="119"/>
        <v>0</v>
      </c>
      <c r="CE143" s="122">
        <f t="shared" si="75"/>
        <v>430891.77838569693</v>
      </c>
      <c r="CF143" s="122">
        <f t="shared" si="76"/>
        <v>0</v>
      </c>
      <c r="CG143" s="122" t="str">
        <f t="shared" si="132"/>
        <v/>
      </c>
      <c r="CH143" s="140">
        <f t="shared" si="133"/>
        <v>1</v>
      </c>
      <c r="CI143" s="142">
        <f t="shared" si="77"/>
        <v>9984</v>
      </c>
      <c r="CJ143" s="134">
        <f>CI143*$C$57</f>
        <v>0</v>
      </c>
      <c r="CK143" s="142">
        <f t="shared" si="78"/>
        <v>14926</v>
      </c>
      <c r="CL143" s="134">
        <f>CK143*$C$57</f>
        <v>0</v>
      </c>
      <c r="CM143" s="142">
        <f t="shared" si="79"/>
        <v>58596</v>
      </c>
      <c r="CN143" s="134">
        <f>CM143*$C$57</f>
        <v>0</v>
      </c>
      <c r="CO143" s="132">
        <f t="shared" si="117"/>
        <v>85285.661984460283</v>
      </c>
      <c r="CP143" s="140">
        <f t="shared" si="134"/>
        <v>0.42</v>
      </c>
      <c r="CQ143" s="121" t="str">
        <f>IF($C$50="NEIN","NEIN",IF(CS143&lt;CR143,"JA","NEIN"))</f>
        <v>NEIN</v>
      </c>
      <c r="CR143" s="121">
        <f>CO143*$C$46</f>
        <v>22494.093348401399</v>
      </c>
      <c r="CS143" s="121">
        <f t="shared" si="135"/>
        <v>26552.448033473316</v>
      </c>
      <c r="CT143" s="201">
        <f>IF($C$50="NEIN",CR143,IF(CQ143="NEIN",CR143,CS143))</f>
        <v>22494.093348401399</v>
      </c>
      <c r="CU143" s="149"/>
      <c r="CV143" s="202">
        <f t="shared" si="80"/>
        <v>9984</v>
      </c>
      <c r="CW143" s="134">
        <f>CV143*$C$57</f>
        <v>0</v>
      </c>
      <c r="CX143" s="142">
        <f t="shared" si="81"/>
        <v>14926</v>
      </c>
      <c r="CY143" s="134">
        <f>CX143*$C$57</f>
        <v>0</v>
      </c>
      <c r="CZ143" s="142">
        <f t="shared" si="82"/>
        <v>58596</v>
      </c>
      <c r="DA143" s="143">
        <f>CZ143*$C$57</f>
        <v>0</v>
      </c>
      <c r="DB143" s="165">
        <f t="shared" si="120"/>
        <v>85285.661984460283</v>
      </c>
      <c r="DC143" s="140">
        <f t="shared" si="136"/>
        <v>0.42</v>
      </c>
      <c r="DD143" s="121" t="str">
        <f>IF($C$50="NEIN","NEIN",IF(DF143&lt;DE143,"JA","NEIN"))</f>
        <v>NEIN</v>
      </c>
      <c r="DE143" s="121">
        <f>DB143*$C$46</f>
        <v>22494.093348401399</v>
      </c>
      <c r="DF143" s="121">
        <f t="shared" si="137"/>
        <v>26552.448033473316</v>
      </c>
      <c r="DG143" s="201">
        <f>IF($C$50="NEIN",DE143,IF(DD143="NEIN",DE143,DF143))</f>
        <v>22494.093348401399</v>
      </c>
      <c r="DH143" s="159"/>
      <c r="DI143" s="74"/>
      <c r="DJ143" s="74"/>
      <c r="DK143" s="128"/>
      <c r="DL143" s="128"/>
      <c r="DM143" s="128"/>
      <c r="DN143" s="74"/>
      <c r="DO143" s="28">
        <f t="shared" si="83"/>
        <v>2084</v>
      </c>
      <c r="DP143" s="17">
        <f>IF($C$13+$C$10&gt;=DO143,-AG143,IF(DO143=$C$13+$C$10+1,$EK$93,0))</f>
        <v>0</v>
      </c>
      <c r="DQ143" s="17">
        <f t="shared" si="84"/>
        <v>4361110.345463993</v>
      </c>
      <c r="DR143" s="17">
        <f t="shared" si="85"/>
        <v>15020904.492415391</v>
      </c>
      <c r="DS143" s="17">
        <f t="shared" si="163"/>
        <v>250163.71273986122</v>
      </c>
      <c r="DT143" s="17">
        <f t="shared" si="138"/>
        <v>16340042.979516121</v>
      </c>
      <c r="DU143" s="17">
        <f t="shared" si="86"/>
        <v>1068974.7743608691</v>
      </c>
      <c r="DV143" s="33">
        <f t="shared" si="139"/>
        <v>7482.8234205260724</v>
      </c>
      <c r="DW143" s="32">
        <f t="shared" si="140"/>
        <v>326800.85959032242</v>
      </c>
      <c r="DX143" s="17">
        <f t="shared" si="87"/>
        <v>0</v>
      </c>
      <c r="DY143" s="17">
        <f t="shared" si="88"/>
        <v>0</v>
      </c>
      <c r="DZ143" s="17">
        <f t="shared" si="141"/>
        <v>0</v>
      </c>
      <c r="EA143" s="17">
        <f t="shared" si="164"/>
        <v>60124.34495186327</v>
      </c>
      <c r="EB143" s="15">
        <f t="shared" si="165"/>
        <v>266676.51463845914</v>
      </c>
      <c r="EC143" s="15">
        <f>IF(DP143=0,EC142,IF(DO143&lt;=$EK$88+$C$10,ABS(DP143)+EC142,EC142))</f>
        <v>430891.77838569693</v>
      </c>
      <c r="ED143" s="15">
        <f t="shared" si="89"/>
        <v>933878.99181168864</v>
      </c>
      <c r="EE143" s="16">
        <f t="shared" si="90"/>
        <v>16340042.979516121</v>
      </c>
      <c r="EF143" s="15">
        <f t="shared" si="142"/>
        <v>250163.71273986122</v>
      </c>
      <c r="EG143" s="15">
        <f t="shared" si="91"/>
        <v>3930218.5670782956</v>
      </c>
      <c r="EH143" s="16"/>
      <c r="EI143" s="16"/>
      <c r="EJ143"/>
      <c r="EK143"/>
      <c r="EL143"/>
      <c r="EM143" s="28">
        <f t="shared" si="92"/>
        <v>2084</v>
      </c>
      <c r="EN143" s="29">
        <f>IF($C$13+$C$10&gt;=EM143,-(AG143),IF(EM143=$C$13+$C$10+1,$FB$93,0))</f>
        <v>0</v>
      </c>
      <c r="EO143" s="30">
        <f t="shared" si="93"/>
        <v>419075.36608363816</v>
      </c>
      <c r="EP143" s="30">
        <f t="shared" si="94"/>
        <v>18590689.86074242</v>
      </c>
      <c r="EQ143" s="30">
        <f t="shared" si="166"/>
        <v>-1571.8037351536341</v>
      </c>
      <c r="ER143" s="25">
        <f t="shared" si="143"/>
        <v>19890356.320997778</v>
      </c>
      <c r="ES143" s="30">
        <f t="shared" si="95"/>
        <v>1301238.2639905103</v>
      </c>
      <c r="ET143" s="26">
        <f t="shared" si="144"/>
        <v>9108.6678479335606</v>
      </c>
      <c r="EU143" s="30">
        <f t="shared" si="96"/>
        <v>9108.6678479335606</v>
      </c>
      <c r="EV143" s="25">
        <f t="shared" si="145"/>
        <v>1681.6878014247334</v>
      </c>
      <c r="EW143" s="31">
        <f t="shared" si="97"/>
        <v>136298.96668439882</v>
      </c>
      <c r="EX143" s="27">
        <f>IF(EM143=0,EX142,IF(EM143&lt;=$FB$88+$C$10,ABS(EN143)+EX142,EX142))</f>
        <v>430891.77838569693</v>
      </c>
      <c r="EY143" s="15"/>
      <c r="EZ143"/>
      <c r="FA143"/>
      <c r="FB143"/>
      <c r="FC143" s="74"/>
      <c r="FD143" s="74"/>
      <c r="FE143" s="74"/>
      <c r="FF143" s="74"/>
      <c r="FG143" s="74"/>
      <c r="FH143" s="74"/>
      <c r="FI143" s="74"/>
      <c r="FJ143" s="28">
        <f t="shared" si="98"/>
        <v>2084</v>
      </c>
      <c r="FK143" s="65">
        <f>IF($C$13+$C$10&gt;=FJ143,-AG143,IF(FJ143=$C$13+$C$10+1,$EK$93,0))</f>
        <v>0</v>
      </c>
      <c r="FL143" s="65">
        <f t="shared" si="99"/>
        <v>74118.803999999975</v>
      </c>
      <c r="FM143" s="65">
        <f t="shared" si="100"/>
        <v>1404976.3799070423</v>
      </c>
      <c r="FN143" s="65">
        <f t="shared" si="167"/>
        <v>0</v>
      </c>
      <c r="FO143" s="65">
        <f t="shared" si="146"/>
        <v>1503324.7265005354</v>
      </c>
      <c r="FP143" s="65">
        <f t="shared" si="101"/>
        <v>98348.34659349313</v>
      </c>
      <c r="FQ143" s="59">
        <f t="shared" si="147"/>
        <v>688.43842615445067</v>
      </c>
      <c r="FR143" s="60">
        <f t="shared" si="148"/>
        <v>30066.494530010707</v>
      </c>
      <c r="FS143" s="65">
        <f t="shared" si="102"/>
        <v>0</v>
      </c>
      <c r="FT143" s="65">
        <f t="shared" si="103"/>
        <v>0</v>
      </c>
      <c r="FU143" s="65">
        <f t="shared" si="149"/>
        <v>0</v>
      </c>
      <c r="FV143" s="65">
        <f t="shared" si="168"/>
        <v>5339.7628026032262</v>
      </c>
      <c r="FW143" s="61">
        <f t="shared" si="169"/>
        <v>24726.731727407481</v>
      </c>
      <c r="FX143" s="61">
        <f>IF(AND(FJ143&lt;=$GF$88+$C$10,FV142&lt;=0,FN143&gt;0),(FJ143-$C$10+1)*AG143+$GF$80,FX142)</f>
        <v>73074.599999999977</v>
      </c>
      <c r="FY143" s="62">
        <f t="shared" si="170"/>
        <v>25.275338540583636</v>
      </c>
      <c r="FZ143" s="63">
        <f t="shared" si="104"/>
        <v>1503324.7265005354</v>
      </c>
      <c r="GA143" s="64">
        <f t="shared" si="105"/>
        <v>28672.987345041678</v>
      </c>
      <c r="GB143" s="64">
        <f t="shared" si="106"/>
        <v>586015.47581091942</v>
      </c>
      <c r="GC143" s="66">
        <f t="shared" si="150"/>
        <v>0</v>
      </c>
      <c r="GD143" s="64">
        <f t="shared" si="107"/>
        <v>1580.6039999999994</v>
      </c>
      <c r="GE143"/>
      <c r="GF143"/>
      <c r="GG143" s="74"/>
      <c r="GH143" s="74"/>
      <c r="GI143" s="28">
        <f t="shared" si="108"/>
        <v>2084</v>
      </c>
      <c r="GJ143" s="9">
        <f>IF($GX$88+$C$10&gt;=GI143,-AG143,IF(GI143=$GX$88+$C$10+1,$FB$93,0))</f>
        <v>0</v>
      </c>
      <c r="GK143" s="5">
        <f t="shared" si="109"/>
        <v>827284.98518052208</v>
      </c>
      <c r="GL143" s="5">
        <f t="shared" si="110"/>
        <v>16659066.07078013</v>
      </c>
      <c r="GM143" s="35">
        <f t="shared" si="171"/>
        <v>22182.011800925309</v>
      </c>
      <c r="GN143" s="4">
        <f t="shared" si="151"/>
        <v>17848935.448361732</v>
      </c>
      <c r="GO143" s="5">
        <f t="shared" si="111"/>
        <v>1167687.3657806758</v>
      </c>
      <c r="GP143" s="5">
        <f t="shared" si="152"/>
        <v>8173.8115604647173</v>
      </c>
      <c r="GQ143" s="5">
        <f t="shared" si="112"/>
        <v>8173.8115604647173</v>
      </c>
      <c r="GR143" s="4">
        <f t="shared" si="153"/>
        <v>1509.0899593507982</v>
      </c>
      <c r="GS143" s="7">
        <f t="shared" si="113"/>
        <v>119151.55324226835</v>
      </c>
      <c r="GT143" s="107" t="e">
        <f>IF($DG$62=0,EX143,IF(GI143-$C$10+1&lt;=$GF$98,0,#REF!-FX143))</f>
        <v>#REF!</v>
      </c>
      <c r="GU143"/>
      <c r="GV143"/>
      <c r="GW143"/>
      <c r="GX143"/>
      <c r="GY143" s="74"/>
      <c r="GZ143" s="74"/>
      <c r="HA143" s="74"/>
      <c r="HB143" s="74"/>
      <c r="HC143" s="74"/>
      <c r="HD143" s="74"/>
    </row>
    <row r="144" spans="2:212" ht="16.149999999999999" thickBot="1" x14ac:dyDescent="0.55000000000000004">
      <c r="B144" s="333"/>
      <c r="C144" s="75"/>
      <c r="D144" s="75"/>
      <c r="F144" s="75"/>
      <c r="G144" s="75"/>
      <c r="H144" s="75"/>
      <c r="I144" s="75"/>
      <c r="J144" s="75"/>
      <c r="K144" s="75"/>
      <c r="L144" s="75"/>
      <c r="M144" s="75"/>
      <c r="O144" s="75"/>
      <c r="P144" s="75"/>
      <c r="Q144" s="75"/>
      <c r="R144" s="75"/>
      <c r="S144" s="290"/>
      <c r="T144" s="291"/>
      <c r="U144" s="291"/>
      <c r="V144" s="292"/>
      <c r="W144" s="292"/>
      <c r="AB144" s="117" t="str">
        <f t="shared" si="34"/>
        <v/>
      </c>
      <c r="AC144" s="117" t="str">
        <f t="shared" si="35"/>
        <v/>
      </c>
      <c r="AD144" s="299">
        <f>IF($C$20="NEIN",$C$21,IF($C$22="JA",'HISTORISCHE RENDITEN'!E68,'HISTORISCHE RENDITEN'!D68))</f>
        <v>-0.1865</v>
      </c>
      <c r="AE144" s="129">
        <f t="shared" si="174"/>
        <v>92</v>
      </c>
      <c r="AF144" s="120">
        <f t="shared" si="154"/>
        <v>2085</v>
      </c>
      <c r="AG144" s="122">
        <f t="shared" ref="AG144:AG155" si="175">IF(AF144&lt;$C$11,AY144-AZ144,0)</f>
        <v>0</v>
      </c>
      <c r="AH144" s="124">
        <f t="shared" si="155"/>
        <v>430891.77838569693</v>
      </c>
      <c r="AI144" s="296">
        <f t="shared" si="114"/>
        <v>970483.45661400142</v>
      </c>
      <c r="AJ144" s="123">
        <f t="shared" si="67"/>
        <v>0</v>
      </c>
      <c r="AK144" s="124">
        <f t="shared" si="156"/>
        <v>789488.29195549013</v>
      </c>
      <c r="AL144" s="122">
        <f t="shared" ref="AL144:AL155" si="176">AK144-(AJ144+AI144)</f>
        <v>-180995.16465851129</v>
      </c>
      <c r="AM144" s="122" t="b">
        <f>IF($C$25="Ausschütter",0,IF(AL144&gt;=0,(AI144+AJ144)*$C$48*0.7))</f>
        <v>0</v>
      </c>
      <c r="AN144" s="122">
        <f t="shared" ref="AN144:AN175" si="177">IF($C$25="THESAURIERER",0,AK144*$C$26)</f>
        <v>0</v>
      </c>
      <c r="AO144" s="122">
        <f t="shared" si="39"/>
        <v>0</v>
      </c>
      <c r="AP144" s="122">
        <f t="shared" si="69"/>
        <v>21995.829823510765</v>
      </c>
      <c r="AQ144" s="122">
        <f>IF($C$25="AUSSCHÜTTER",0,IF(AO144*$C$46*$C$49&lt;=$C$47,0,AO144*$C$46*$C$49))</f>
        <v>0</v>
      </c>
      <c r="AR144" s="122">
        <f>IF(AO143*$C$49&gt;$C$47,(AN144)*$C$49*$C$46,IF((AO143+AN144)*$C$49&gt;$C$47,((AO143+AN144)*$C$49-$C$47)*$C$46,0))</f>
        <v>0</v>
      </c>
      <c r="AS144" s="122">
        <f t="shared" si="70"/>
        <v>0</v>
      </c>
      <c r="AT144" s="122">
        <f t="shared" si="157"/>
        <v>430891.77838569693</v>
      </c>
      <c r="AU144" s="122">
        <f t="shared" si="115"/>
        <v>0</v>
      </c>
      <c r="AV144" s="122">
        <f t="shared" si="71"/>
        <v>789488.29195549013</v>
      </c>
      <c r="AW144" s="122">
        <f t="shared" si="158"/>
        <v>0</v>
      </c>
      <c r="AX144" s="130">
        <f t="shared" si="159"/>
        <v>0</v>
      </c>
      <c r="AY144" s="82">
        <f>IF(AF144&lt;$C$11,$C$15*(1+$C$19)^(AF144-$C$10),0)</f>
        <v>0</v>
      </c>
      <c r="AZ144" s="82">
        <f>$C$14*(1+$C$37)^(AF144-$C$10)</f>
        <v>87417.803534071776</v>
      </c>
      <c r="BA144" s="165">
        <f>IF(AF144&lt;$C$11,0,MAX($C$38*AI144,AZ144))</f>
        <v>87417.803534071776</v>
      </c>
      <c r="BB144" s="82">
        <f>IF(AF144&lt;$C$11,0,MAX($C$38*AI144,AZ144))</f>
        <v>87417.803534071776</v>
      </c>
      <c r="BC144" s="136">
        <f>IF($C$39="JA",CT144,DG144)</f>
        <v>23056.445682111429</v>
      </c>
      <c r="BD144" s="82">
        <f t="shared" ref="BD144:BD175" si="178">IF($C$27="JA",0,AS144-AW144)</f>
        <v>0</v>
      </c>
      <c r="BE144" s="82">
        <f>IF(AF144&lt;($C$8+$C$30),0,$C$29*12*(1-$C$31))</f>
        <v>0</v>
      </c>
      <c r="BF144" s="82">
        <f>IF(AF144&lt;($C$8+$C$34),0,$C$33*12*(1-$C$35))</f>
        <v>0</v>
      </c>
      <c r="BG144" s="82">
        <f>IF(AF144&lt;$C$11,0,IF(AI144&lt;0,$C$42*(1+$C$44)^(AF144-$C$10),IF(((AL144+BE144+BF144)*$C$41)&lt;$C$42*(1+$C$44)^(AF144-$C$10),$C$42*(1+$C$44)^(AF144-$C$10),IF(((AL144+BE144+BF144)*$C$41)&lt;$C$43*(1+$C$44)^(AF144-$C$10),(AL144+BE144+BF144)*$C$41,IF(((AL144+BE144+BF144+BB144)*$C$41)&lt;$C$43*(1+$C$44)^(AF144-$C$10),((AL144+BE144+BF144+BB144)*$C$41),$C$43*(1+$C$44)^(AF144-$C$10))))))</f>
        <v>6223.5465985998208</v>
      </c>
      <c r="BH144" s="82">
        <f t="shared" si="72"/>
        <v>116697.79581478302</v>
      </c>
      <c r="BI144" s="242">
        <f t="shared" si="73"/>
        <v>789488.29195549013</v>
      </c>
      <c r="BJ144" s="217">
        <f t="shared" si="74"/>
        <v>672790.49614070705</v>
      </c>
      <c r="BK144" s="118"/>
      <c r="BL144" s="219">
        <f t="shared" ref="BL144:BL155" si="179">IF(AF144&lt;$C$11,0,AF144-$C$11+1)</f>
        <v>48</v>
      </c>
      <c r="BM144" s="220">
        <f t="shared" ref="BM144:BM155" si="180">AE144-$C$9+1</f>
        <v>65</v>
      </c>
      <c r="BN144" s="220">
        <f t="shared" si="173"/>
        <v>0</v>
      </c>
      <c r="BO144" s="221">
        <f t="shared" ref="BO144:BO155" si="181">AG144*(1+AVERAGE($AD$80:$AD$156))^(BN144)</f>
        <v>0</v>
      </c>
      <c r="BP144" s="221">
        <f t="shared" ref="BP144:BP155" si="182">AG144</f>
        <v>0</v>
      </c>
      <c r="BQ144" s="222">
        <f t="shared" ref="BQ144:BQ155" si="183">IF(BP144&lt;=0,0,BO144/BP144-1)</f>
        <v>0</v>
      </c>
      <c r="BR144" s="223">
        <f>IF(BM144&lt;$C$11-$C$10+1,0,IF(BL144&lt;=$C$13,VLOOKUP(BL144,$BN$80:$BQ$156,2,FALSE)-BS144,0))</f>
        <v>0</v>
      </c>
      <c r="BS144" s="223">
        <f>IF(BM144&lt;$C$11-$C$10+1,0,IF(BL144&lt;=$C$13,VLOOKUP(BL144,$BN$80:$BQ$156,3,FALSE),0))</f>
        <v>0</v>
      </c>
      <c r="BT144" s="222">
        <f>IF(BM144&lt;$C$11-$C$10+1,0,IF(BL144&lt;=$C$13,VLOOKUP(BL144,$BN$80:$BQ$156,4,FALSE),0))</f>
        <v>0</v>
      </c>
      <c r="BU144" s="223">
        <f t="shared" si="160"/>
        <v>0</v>
      </c>
      <c r="BV144" s="223">
        <f t="shared" si="161"/>
        <v>0</v>
      </c>
      <c r="BW144" s="223">
        <f t="shared" si="118"/>
        <v>0</v>
      </c>
      <c r="BX144" s="223">
        <f>IF(AND(BS144&lt;=0,BN144=0),MIN((MAX($BZ$80:$BZ$156)-SUM($BX$80:BX143)),CA144),IF(BS144&lt;CA144,BS144,CA144))</f>
        <v>0</v>
      </c>
      <c r="BY144" s="222">
        <f>IF(BN144&gt;0,0,IF(AND(BN144=0,BT144&lt;=0),100%,((BW143*(AVERAGE($BT$80:BT143))+(BR144*BT144))/(BR144+BW143+BS144+BV143))))</f>
        <v>1</v>
      </c>
      <c r="BZ144" s="139">
        <f t="shared" si="162"/>
        <v>430891.77838569693</v>
      </c>
      <c r="CA144" s="122">
        <f t="shared" ref="CA144:CA155" si="184">IF(BB144-BD144&lt;=0,0,BB144-BD144)</f>
        <v>87417.803534071776</v>
      </c>
      <c r="CB144" s="181">
        <f t="shared" si="47"/>
        <v>1</v>
      </c>
      <c r="CC144" s="122">
        <f t="shared" si="48"/>
        <v>2676372.4943195749</v>
      </c>
      <c r="CD144" s="182">
        <f t="shared" si="119"/>
        <v>0</v>
      </c>
      <c r="CE144" s="122">
        <f t="shared" si="75"/>
        <v>430891.77838569693</v>
      </c>
      <c r="CF144" s="122">
        <f t="shared" si="76"/>
        <v>0</v>
      </c>
      <c r="CG144" s="122" t="str">
        <f t="shared" ref="CG144:CG155" si="185">IF(CC144&lt;=0,"",IF(CF144&lt;=0,"","JA"))</f>
        <v/>
      </c>
      <c r="CH144" s="140">
        <f t="shared" ref="CH144:CH155" si="186">IF(CB144&lt;=0,0,IF(AND(CB144&gt;0,CB144&lt;=1,CG144="JA")=TRUE,CB144,100%))</f>
        <v>1</v>
      </c>
      <c r="CI144" s="142">
        <f t="shared" si="77"/>
        <v>9984</v>
      </c>
      <c r="CJ144" s="134">
        <f>CI144*$C$57</f>
        <v>0</v>
      </c>
      <c r="CK144" s="142">
        <f t="shared" si="78"/>
        <v>14926</v>
      </c>
      <c r="CL144" s="134">
        <f>CK144*$C$57</f>
        <v>0</v>
      </c>
      <c r="CM144" s="142">
        <f t="shared" si="79"/>
        <v>58596</v>
      </c>
      <c r="CN144" s="134">
        <f>CM144*$C$57</f>
        <v>0</v>
      </c>
      <c r="CO144" s="132">
        <f t="shared" si="117"/>
        <v>87417.803534071776</v>
      </c>
      <c r="CP144" s="140">
        <f t="shared" ref="CP144:CP155" si="187">IF(CO144&lt;=0,0,IF(CO144&gt;CM144,$CM$66,IF(AND(CO144&gt;=CI144,CO144&lt;=CK144),($CK$66-$CI$66)/(CK144-CI144)*(CO144-CI144)+$CI$66,IF(AND(CO144&gt;=CK144,CO144&lt;=CM144),($CM$66-$CK$66)/(CM144-CK144)*(CO144-CK144)+$CK$66,0))))</f>
        <v>0.42</v>
      </c>
      <c r="CQ144" s="121" t="str">
        <f>IF($C$50="NEIN","NEIN",IF(CS144&lt;CR144,"JA","NEIN"))</f>
        <v>NEIN</v>
      </c>
      <c r="CR144" s="121">
        <f>CO144*$C$46</f>
        <v>23056.445682111429</v>
      </c>
      <c r="CS144" s="121">
        <f t="shared" ref="CS144:CS155" si="188">IF(CO144&lt;=0,0,IF(CO144&gt;CM144,$CM$66*CO144-9267.53,IF(AND(CO144&gt;=CI144,CO144&lt;=CK144),(1008.7*((CO144-CI144)/10000)+1400)*((CO144-CI144)/10000),IF(AND(CO144&gt;=CK144,CO144&lt;=CM144),(206.43*((CO144-CK144)/10000)+2397)*((CO144-CK144)/10000)+938.24,0))))</f>
        <v>27447.947484310149</v>
      </c>
      <c r="CT144" s="201">
        <f>IF($C$50="NEIN",CR144,IF(CQ144="NEIN",CR144,CS144))</f>
        <v>23056.445682111429</v>
      </c>
      <c r="CU144" s="149"/>
      <c r="CV144" s="202">
        <f t="shared" si="80"/>
        <v>9984</v>
      </c>
      <c r="CW144" s="134">
        <f>CV144*$C$57</f>
        <v>0</v>
      </c>
      <c r="CX144" s="142">
        <f t="shared" si="81"/>
        <v>14926</v>
      </c>
      <c r="CY144" s="134">
        <f>CX144*$C$57</f>
        <v>0</v>
      </c>
      <c r="CZ144" s="142">
        <f t="shared" si="82"/>
        <v>58596</v>
      </c>
      <c r="DA144" s="143">
        <f>CZ144*$C$57</f>
        <v>0</v>
      </c>
      <c r="DB144" s="165">
        <f t="shared" si="120"/>
        <v>87417.803534071776</v>
      </c>
      <c r="DC144" s="140">
        <f t="shared" ref="DC144:DC155" si="189">IF(DB144&lt;=0,0,IF(DB144&gt;CZ144,$CZ$76,IF(AND(DB144&gt;=CV144,DB144&lt;=CX144),($CX$76-$CV$76)/(CX144-CV144)*(DB144-CV144)+$CV$76,IF(AND(DB144&gt;=CX144,DB144&lt;=CZ144),($CZ$76-$CX$76)/(CZ144-CX144)*(DB144-CX144)+$CX$76,0))))</f>
        <v>0.42</v>
      </c>
      <c r="DD144" s="121" t="str">
        <f>IF($C$50="NEIN","NEIN",IF(DF144&lt;DE144,"JA","NEIN"))</f>
        <v>NEIN</v>
      </c>
      <c r="DE144" s="121">
        <f>DB144*$C$46</f>
        <v>23056.445682111429</v>
      </c>
      <c r="DF144" s="121">
        <f t="shared" ref="DF144:DF155" si="190">IF(DB144&lt;=0,0,IF(DB144&gt;CZ144,$CZ$76*DB144-9267.53,IF(AND(DB144&gt;=CV144,DB144&lt;=CX144),(1008.7*((DB144-CV144)/10000)+1400)*((DB144-CV144)/10000),IF(AND(DB144&gt;=CX144,DB144&lt;=CZ144),(206.43*((DB144-CX144)/10000)+2397)*((DB144-CX144)/10000)+938.24,0))))</f>
        <v>27447.947484310149</v>
      </c>
      <c r="DG144" s="201">
        <f>IF($C$50="NEIN",DE144,IF(DD144="NEIN",DE144,DF144))</f>
        <v>23056.445682111429</v>
      </c>
      <c r="DH144" s="159"/>
      <c r="DI144" s="74"/>
      <c r="DJ144" s="74"/>
      <c r="DK144" s="128"/>
      <c r="DL144" s="128"/>
      <c r="DM144" s="128"/>
      <c r="DN144" s="74"/>
      <c r="DO144" s="28">
        <f t="shared" si="83"/>
        <v>2085</v>
      </c>
      <c r="DP144" s="17">
        <f>IF($C$13+$C$10&gt;=DO144,-AG144,IF(DO144=$C$13+$C$10+1,$EK$93,0))</f>
        <v>0</v>
      </c>
      <c r="DQ144" s="17">
        <f t="shared" si="84"/>
        <v>4627786.8601024523</v>
      </c>
      <c r="DR144" s="17">
        <f t="shared" si="85"/>
        <v>16013242.119925799</v>
      </c>
      <c r="DS144" s="17">
        <f t="shared" si="163"/>
        <v>266676.51463845914</v>
      </c>
      <c r="DT144" s="17">
        <f t="shared" ref="DT144:DT175" si="191">(DR144+DS144)*(1+$EK$82)</f>
        <v>17419512.938983757</v>
      </c>
      <c r="DU144" s="17">
        <f t="shared" si="86"/>
        <v>1139594.3044194989</v>
      </c>
      <c r="DV144" s="33">
        <f t="shared" ref="DV144:DV175" si="192">IF(DU144&gt;0,MIN(DU144,(DR144+DS144)*$EK$85*0.7),0)</f>
        <v>7977.160130936486</v>
      </c>
      <c r="DW144" s="32">
        <f t="shared" ref="DW144:DW179" si="193">DT144*$EK$83</f>
        <v>348390.25877967518</v>
      </c>
      <c r="DX144" s="17">
        <f t="shared" si="87"/>
        <v>0</v>
      </c>
      <c r="DY144" s="17">
        <f t="shared" si="88"/>
        <v>0</v>
      </c>
      <c r="DZ144" s="17">
        <f t="shared" ref="DZ144:DZ179" si="194">IF(DX144*$EK$86&gt;$EK$87,(DX144*$EK$86-$EK$87)*$EK$84,0)</f>
        <v>0</v>
      </c>
      <c r="EA144" s="17">
        <f t="shared" si="164"/>
        <v>64110.287777197518</v>
      </c>
      <c r="EB144" s="15">
        <f t="shared" si="165"/>
        <v>284279.97100247769</v>
      </c>
      <c r="EC144" s="15">
        <f>IF(DP144=0,EC143,IF(DO144&lt;=$EK$88+$C$10,ABS(DP144)+EC143,EC143))</f>
        <v>430891.77838569693</v>
      </c>
      <c r="ED144" s="15">
        <f t="shared" si="89"/>
        <v>997989.27958888619</v>
      </c>
      <c r="EE144" s="16">
        <f t="shared" si="90"/>
        <v>17419512.938983757</v>
      </c>
      <c r="EF144" s="15">
        <f t="shared" ref="EF144:EF156" si="195">IF(DS144&lt;=0,0,DS144-AG144)</f>
        <v>266676.51463845914</v>
      </c>
      <c r="EG144" s="15">
        <f t="shared" si="91"/>
        <v>4196895.0817167545</v>
      </c>
      <c r="EH144" s="16"/>
      <c r="EI144" s="16"/>
      <c r="EJ144"/>
      <c r="EK144"/>
      <c r="EL144"/>
      <c r="EM144" s="28">
        <f t="shared" si="92"/>
        <v>2085</v>
      </c>
      <c r="EN144" s="29">
        <f>IF($C$13+$C$10&gt;=EM144,-(AG144),IF(EM144=$C$13+$C$10+1,$FB$93,0))</f>
        <v>0</v>
      </c>
      <c r="EO144" s="30">
        <f t="shared" si="93"/>
        <v>417393.67828221346</v>
      </c>
      <c r="EP144" s="30">
        <f t="shared" si="94"/>
        <v>19890356.320997778</v>
      </c>
      <c r="EQ144" s="30">
        <f t="shared" si="166"/>
        <v>-1681.6878014247334</v>
      </c>
      <c r="ER144" s="25">
        <f t="shared" ref="ER144:ER175" si="196">(EP144+EQ144)*(1+$FB$82)</f>
        <v>21280881.8575201</v>
      </c>
      <c r="ES144" s="30">
        <f t="shared" si="95"/>
        <v>1392207.2243237458</v>
      </c>
      <c r="ET144" s="26">
        <f t="shared" ref="ET144:ET175" si="197">IF(ES144&gt;0,(EP144+EQ144)*$FB$85*0.7,0)</f>
        <v>9745.4505702662136</v>
      </c>
      <c r="EU144" s="30">
        <f t="shared" si="96"/>
        <v>9745.4505702662136</v>
      </c>
      <c r="EV144" s="25">
        <f t="shared" ref="EV144:EV175" si="198">IF(EU144*$FB$84*$FB$86&lt;=$FB$87,0,EU144*$FB$84*$FB$86)</f>
        <v>1799.2538115353993</v>
      </c>
      <c r="EW144" s="31">
        <f t="shared" si="97"/>
        <v>146044.41725466505</v>
      </c>
      <c r="EX144" s="27">
        <f>IF(EM144=0,EX143,IF(EM144&lt;=$FB$88+$C$10,ABS(EN144)+EX143,EX143))</f>
        <v>430891.77838569693</v>
      </c>
      <c r="EY144" s="15"/>
      <c r="EZ144"/>
      <c r="FA144"/>
      <c r="FB144"/>
      <c r="FC144" s="74"/>
      <c r="FD144" s="74"/>
      <c r="FE144" s="74"/>
      <c r="FF144" s="74"/>
      <c r="FG144" s="74"/>
      <c r="FH144" s="74"/>
      <c r="FI144" s="74"/>
      <c r="FJ144" s="28">
        <f t="shared" si="98"/>
        <v>2085</v>
      </c>
      <c r="FK144" s="65">
        <f>IF($C$13+$C$10&gt;=FJ144,-AG144,IF(FJ144=$C$13+$C$10+1,$EK$93,0))</f>
        <v>0</v>
      </c>
      <c r="FL144" s="65">
        <f t="shared" si="99"/>
        <v>74118.803999999975</v>
      </c>
      <c r="FM144" s="65">
        <f t="shared" si="100"/>
        <v>1473258.2319705246</v>
      </c>
      <c r="FN144" s="65">
        <f t="shared" si="167"/>
        <v>0</v>
      </c>
      <c r="FO144" s="65">
        <f t="shared" ref="FO144:FO175" si="199">(FM144+FN144)*(1+$GF$82)</f>
        <v>1576386.3082084614</v>
      </c>
      <c r="FP144" s="65">
        <f t="shared" si="101"/>
        <v>103128.07623793674</v>
      </c>
      <c r="FQ144" s="59">
        <f t="shared" ref="FQ144:FQ175" si="200">IF(FP144&gt;0,MIN(FP144,(FM144+FN144)*$GF$85*0.7),0)</f>
        <v>721.89653366555694</v>
      </c>
      <c r="FR144" s="60">
        <f t="shared" ref="FR144:FR179" si="201">FO144*$GF$83</f>
        <v>31527.726164169228</v>
      </c>
      <c r="FS144" s="65">
        <f t="shared" si="102"/>
        <v>0</v>
      </c>
      <c r="FT144" s="65">
        <f t="shared" si="103"/>
        <v>0</v>
      </c>
      <c r="FU144" s="65">
        <f t="shared" ref="FU144:FU179" si="202">IF(FS144*$GF$86&gt;$GF$87,(FS144*$GF$86-$GF$87)*$GF$84,0)</f>
        <v>0</v>
      </c>
      <c r="FV144" s="65">
        <f t="shared" si="168"/>
        <v>5609.5426930597432</v>
      </c>
      <c r="FW144" s="61">
        <f t="shared" si="169"/>
        <v>25918.183471109485</v>
      </c>
      <c r="FX144" s="61">
        <f>IF(AND(FJ144&lt;=$GF$88+$C$10,FV143&lt;=0,FN144&gt;0),(FJ144-$C$10+1)*AG144+$GF$80,FX143)</f>
        <v>73074.599999999977</v>
      </c>
      <c r="FY144" s="62">
        <f t="shared" si="170"/>
        <v>26.552319993656003</v>
      </c>
      <c r="FZ144" s="63">
        <f t="shared" si="104"/>
        <v>1576386.3082084614</v>
      </c>
      <c r="GA144" s="64">
        <f t="shared" si="105"/>
        <v>30066.494530010707</v>
      </c>
      <c r="GB144" s="64">
        <f t="shared" si="106"/>
        <v>616081.97034093016</v>
      </c>
      <c r="GC144" s="66">
        <f t="shared" ref="GC144:GC156" si="203">IF(FN144&lt;=0,0,FN144-AG144)</f>
        <v>0</v>
      </c>
      <c r="GD144" s="64">
        <f t="shared" si="107"/>
        <v>1580.6039999999994</v>
      </c>
      <c r="GE144"/>
      <c r="GF144"/>
      <c r="GG144" s="74"/>
      <c r="GH144" s="74"/>
      <c r="GI144" s="28">
        <f t="shared" si="108"/>
        <v>2085</v>
      </c>
      <c r="GJ144" s="9">
        <f>IF($GX$88+$C$10&gt;=GI144,-AG144,IF(GI144=$GX$88+$C$10+1,$FB$93,0))</f>
        <v>0</v>
      </c>
      <c r="GK144" s="5">
        <f t="shared" si="109"/>
        <v>850502.62694857875</v>
      </c>
      <c r="GL144" s="5">
        <f t="shared" si="110"/>
        <v>17848935.448361732</v>
      </c>
      <c r="GM144" s="35">
        <f t="shared" si="171"/>
        <v>23217.641768056685</v>
      </c>
      <c r="GN144" s="4">
        <f t="shared" ref="GN144:GN175" si="204">(GL144+GM144)*(1+$GX$82)</f>
        <v>19123203.806438874</v>
      </c>
      <c r="GO144" s="5">
        <f t="shared" si="111"/>
        <v>1251050.7163090855</v>
      </c>
      <c r="GP144" s="5">
        <f t="shared" ref="GP144:GP175" si="205">IF(GO144&gt;0,(GL144+GM144)*$GX$85*0.7,0)</f>
        <v>8757.3550141635951</v>
      </c>
      <c r="GQ144" s="5">
        <f t="shared" si="112"/>
        <v>8757.3550141635951</v>
      </c>
      <c r="GR144" s="4">
        <f t="shared" ref="GR144:GR175" si="206">IF($DG$62&lt;&gt;0,GQ144*$GX$86*$GX$84,IF(GQ144*$GX$86*$GX$84&lt;=$GX$87,0,GQ144*$GX$86*$GX$84))</f>
        <v>1616.8266694899537</v>
      </c>
      <c r="GS144" s="7">
        <f t="shared" si="113"/>
        <v>127908.90825643194</v>
      </c>
      <c r="GT144" s="107" t="e">
        <f>IF($DG$62=0,EX144,IF(GI144-$C$10+1&lt;=$GF$98,0,#REF!-FX144))</f>
        <v>#REF!</v>
      </c>
      <c r="GU144"/>
      <c r="GV144"/>
      <c r="GW144"/>
      <c r="GX144"/>
      <c r="GY144" s="74"/>
      <c r="GZ144" s="74"/>
      <c r="HA144" s="74"/>
      <c r="HB144" s="74"/>
      <c r="HC144" s="74"/>
      <c r="HD144" s="74"/>
    </row>
    <row r="145" spans="2:212" ht="16.149999999999999" thickBot="1" x14ac:dyDescent="0.55000000000000004">
      <c r="B145" s="333"/>
      <c r="C145" s="75"/>
      <c r="D145" s="75"/>
      <c r="F145" s="75"/>
      <c r="G145" s="75"/>
      <c r="H145" s="75"/>
      <c r="I145" s="75"/>
      <c r="J145" s="75"/>
      <c r="K145" s="75"/>
      <c r="L145" s="75"/>
      <c r="M145" s="75"/>
      <c r="O145" s="75"/>
      <c r="P145" s="75"/>
      <c r="Q145" s="75"/>
      <c r="R145" s="75"/>
      <c r="S145" s="290"/>
      <c r="T145" s="291"/>
      <c r="U145" s="291"/>
      <c r="V145" s="292"/>
      <c r="W145" s="292"/>
      <c r="AB145" s="117" t="str">
        <f t="shared" ref="AB145:AB199" si="207">IF(AND(BJ145&lt;0),AE145,"")</f>
        <v/>
      </c>
      <c r="AC145" s="117" t="str">
        <f t="shared" ref="AC145:AC199" si="208">IF(AND(BJ145&lt;0),AF145,"")</f>
        <v/>
      </c>
      <c r="AD145" s="299">
        <f>IF($C$20="NEIN",$C$21,IF($C$22="JA",'HISTORISCHE RENDITEN'!E69,'HISTORISCHE RENDITEN'!D69))</f>
        <v>0.16</v>
      </c>
      <c r="AE145" s="129">
        <f t="shared" si="174"/>
        <v>93</v>
      </c>
      <c r="AF145" s="120">
        <f t="shared" ref="AF145:AF155" si="209">AF144+1</f>
        <v>2086</v>
      </c>
      <c r="AG145" s="122">
        <f t="shared" si="175"/>
        <v>0</v>
      </c>
      <c r="AH145" s="124">
        <f t="shared" ref="AH145:AH155" si="210">AH144+AJ145</f>
        <v>430891.77838569693</v>
      </c>
      <c r="AI145" s="296">
        <f t="shared" si="114"/>
        <v>672790.49614070705</v>
      </c>
      <c r="AJ145" s="123">
        <f t="shared" si="67"/>
        <v>0</v>
      </c>
      <c r="AK145" s="124">
        <f t="shared" ref="AK145:AK155" si="211">(AI145+AJ145)*(1+AD145)</f>
        <v>780436.97552322014</v>
      </c>
      <c r="AL145" s="122">
        <f t="shared" si="176"/>
        <v>107646.47938251309</v>
      </c>
      <c r="AM145" s="122">
        <f>IF($C$25="Ausschütter",0,IF(AL145&gt;=0,(AI145+AJ145)*$C$48*0.7))</f>
        <v>329.6673431089464</v>
      </c>
      <c r="AN145" s="122">
        <f t="shared" si="177"/>
        <v>0</v>
      </c>
      <c r="AO145" s="122">
        <f t="shared" ref="AO145:AO199" si="212">IF(AL145&gt;=0,MIN(AL145,AM145),0)</f>
        <v>329.6673431089464</v>
      </c>
      <c r="AP145" s="122">
        <f t="shared" si="69"/>
        <v>22325.497166619713</v>
      </c>
      <c r="AQ145" s="122">
        <f>IF($C$25="AUSSCHÜTTER",0,IF(AO145*$C$46*$C$49&lt;=$C$47,0,AO145*$C$46*$C$49))</f>
        <v>0</v>
      </c>
      <c r="AR145" s="122">
        <f>IF(AO144*$C$49&gt;$C$47,(AN145)*$C$49*$C$46,IF((AO144+AN145)*$C$49&gt;$C$47,((AO144+AN145)*$C$49-$C$47)*$C$46,0))</f>
        <v>0</v>
      </c>
      <c r="AS145" s="122">
        <f t="shared" si="70"/>
        <v>0</v>
      </c>
      <c r="AT145" s="122">
        <f t="shared" ref="AT145:AT155" si="213">IF(AG145=0,AT144,IF(AF145&lt;=$C$13+$C$10,ABS(AG145)+AT144,AT144))</f>
        <v>430891.77838569693</v>
      </c>
      <c r="AU145" s="122">
        <f t="shared" si="115"/>
        <v>0</v>
      </c>
      <c r="AV145" s="122">
        <f t="shared" si="71"/>
        <v>780436.97552322014</v>
      </c>
      <c r="AW145" s="122">
        <f t="shared" ref="AW145:AW176" si="214">IF(OR($C$25="THESAURIERER",$C$27="NEIN"),0,IF(AS144&lt;=0,0,AS144))</f>
        <v>0</v>
      </c>
      <c r="AX145" s="130">
        <f t="shared" ref="AX145:AX176" si="215">IF($C$25="THESAURIERER",0,AW145+AX144)</f>
        <v>0</v>
      </c>
      <c r="AY145" s="82">
        <f>IF(AF145&lt;$C$11,$C$15*(1+$C$19)^(AF145-$C$10),0)</f>
        <v>0</v>
      </c>
      <c r="AZ145" s="82">
        <f>$C$14*(1+$C$37)^(AF145-$C$10)</f>
        <v>89603.248622423547</v>
      </c>
      <c r="BA145" s="165">
        <f>IF(AF145&lt;$C$11,0,MAX($C$38*AI145,AZ145))</f>
        <v>89603.248622423547</v>
      </c>
      <c r="BB145" s="82">
        <f>IF(AF145&lt;$C$11,0,MAX($C$38*AI145,AZ145))</f>
        <v>89603.248622423547</v>
      </c>
      <c r="BC145" s="136">
        <f>IF($C$39="JA",CT145,DG145)</f>
        <v>23632.85682416421</v>
      </c>
      <c r="BD145" s="82">
        <f t="shared" si="178"/>
        <v>0</v>
      </c>
      <c r="BE145" s="82">
        <f>IF(AF145&lt;($C$8+$C$30),0,$C$29*12*(1-$C$31))</f>
        <v>0</v>
      </c>
      <c r="BF145" s="82">
        <f>IF(AF145&lt;($C$8+$C$34),0,$C$33*12*(1-$C$35))</f>
        <v>0</v>
      </c>
      <c r="BG145" s="82">
        <f>IF(AF145&lt;$C$11,0,IF(AI145&lt;0,$C$42*(1+$C$44)^(AF145-$C$10),IF(((AL145+BE145+BF145)*$C$41)&lt;$C$42*(1+$C$44)^(AF145-$C$10),$C$42*(1+$C$44)^(AF145-$C$10),IF(((AL145+BE145+BF145)*$C$41)&lt;$C$43*(1+$C$44)^(AF145-$C$10),(AL145+BE145+BF145)*$C$41,IF(((AL145+BE145+BF145+BB145)*$C$41)&lt;$C$43*(1+$C$44)^(AF145-$C$10),((AL145+BE145+BF145+BB145)*$C$41),$C$43*(1+$C$44)^(AF145-$C$10))))))</f>
        <v>20452.831082677487</v>
      </c>
      <c r="BH145" s="82">
        <f t="shared" si="72"/>
        <v>133688.93652926525</v>
      </c>
      <c r="BI145" s="242">
        <f t="shared" ref="BI145:BI155" si="216">AI145+AY145+BE145+BF145+AL145</f>
        <v>780436.97552322014</v>
      </c>
      <c r="BJ145" s="217">
        <f t="shared" ref="BJ145:BJ155" si="217">BI145-BH145</f>
        <v>646748.03899395489</v>
      </c>
      <c r="BK145" s="118"/>
      <c r="BL145" s="219">
        <f t="shared" si="179"/>
        <v>49</v>
      </c>
      <c r="BM145" s="220">
        <f t="shared" si="180"/>
        <v>66</v>
      </c>
      <c r="BN145" s="220">
        <f t="shared" si="173"/>
        <v>0</v>
      </c>
      <c r="BO145" s="221">
        <f t="shared" si="181"/>
        <v>0</v>
      </c>
      <c r="BP145" s="221">
        <f t="shared" si="182"/>
        <v>0</v>
      </c>
      <c r="BQ145" s="222">
        <f t="shared" si="183"/>
        <v>0</v>
      </c>
      <c r="BR145" s="223">
        <f>IF(BM145&lt;$C$11-$C$10+1,0,IF(BL145&lt;=$C$13,VLOOKUP(BL145,$BN$80:$BQ$156,2,FALSE)-BS145,0))</f>
        <v>0</v>
      </c>
      <c r="BS145" s="223">
        <f>IF(BM145&lt;$C$11-$C$10+1,0,IF(BL145&lt;=$C$13,VLOOKUP(BL145,$BN$80:$BQ$156,3,FALSE),0))</f>
        <v>0</v>
      </c>
      <c r="BT145" s="222">
        <f>IF(BM145&lt;$C$11-$C$10+1,0,IF(BL145&lt;=$C$13,VLOOKUP(BL145,$BN$80:$BQ$156,4,FALSE),0))</f>
        <v>0</v>
      </c>
      <c r="BU145" s="223">
        <f t="shared" ref="BU145:BU155" si="218">IF((BR145+BS145)-CA145+BU144&lt;0,0,(BR145+BS145)-CA145+BU144)</f>
        <v>0</v>
      </c>
      <c r="BV145" s="223">
        <f t="shared" ref="BV145:BV155" si="219">IF(BS145-CA145+BV144&gt;0,BS145-CA145+BV144,0)</f>
        <v>0</v>
      </c>
      <c r="BW145" s="223">
        <f t="shared" si="118"/>
        <v>0</v>
      </c>
      <c r="BX145" s="223">
        <f>IF(AND(BS145&lt;=0,BN145=0),MIN((MAX($BZ$80:$BZ$156)-SUM($BX$80:BX144)),CA145),IF(BS145&lt;CA145,BS145,CA145))</f>
        <v>0</v>
      </c>
      <c r="BY145" s="222">
        <f>IF(BN145&gt;0,0,IF(AND(BN145=0,BT145&lt;=0),100%,((BW144*(AVERAGE($BT$80:BT144))+(BR145*BT145))/(BR145+BW144+BS145+BV144))))</f>
        <v>1</v>
      </c>
      <c r="BZ145" s="139">
        <f t="shared" ref="BZ145:BZ155" si="220">AG145+BZ144</f>
        <v>430891.77838569693</v>
      </c>
      <c r="CA145" s="122">
        <f t="shared" si="184"/>
        <v>89603.248622423547</v>
      </c>
      <c r="CB145" s="181">
        <f t="shared" ref="CB145:CB155" si="221">BY145</f>
        <v>1</v>
      </c>
      <c r="CC145" s="122">
        <f t="shared" ref="CC145:CC155" si="222">CA145+CC144</f>
        <v>2765975.7429419984</v>
      </c>
      <c r="CD145" s="182">
        <f t="shared" si="119"/>
        <v>0</v>
      </c>
      <c r="CE145" s="122">
        <f t="shared" si="75"/>
        <v>430891.77838569693</v>
      </c>
      <c r="CF145" s="122">
        <f t="shared" si="76"/>
        <v>0</v>
      </c>
      <c r="CG145" s="122" t="str">
        <f t="shared" si="185"/>
        <v/>
      </c>
      <c r="CH145" s="140">
        <f t="shared" si="186"/>
        <v>1</v>
      </c>
      <c r="CI145" s="142">
        <f t="shared" si="77"/>
        <v>9984</v>
      </c>
      <c r="CJ145" s="134">
        <f>CI145*$C$57</f>
        <v>0</v>
      </c>
      <c r="CK145" s="142">
        <f t="shared" si="78"/>
        <v>14926</v>
      </c>
      <c r="CL145" s="134">
        <f>CK145*$C$57</f>
        <v>0</v>
      </c>
      <c r="CM145" s="142">
        <f t="shared" si="79"/>
        <v>58596</v>
      </c>
      <c r="CN145" s="134">
        <f>CM145*$C$57</f>
        <v>0</v>
      </c>
      <c r="CO145" s="132">
        <f t="shared" si="117"/>
        <v>89603.248622423547</v>
      </c>
      <c r="CP145" s="140">
        <f t="shared" si="187"/>
        <v>0.42</v>
      </c>
      <c r="CQ145" s="121" t="str">
        <f>IF($C$50="NEIN","NEIN",IF(CS145&lt;CR145,"JA","NEIN"))</f>
        <v>NEIN</v>
      </c>
      <c r="CR145" s="121">
        <f>CO145*$C$46</f>
        <v>23632.85682416421</v>
      </c>
      <c r="CS145" s="121">
        <f t="shared" si="188"/>
        <v>28365.834421417887</v>
      </c>
      <c r="CT145" s="201">
        <f>IF($C$50="NEIN",CR145,IF(CQ145="NEIN",CR145,CS145))</f>
        <v>23632.85682416421</v>
      </c>
      <c r="CU145" s="149"/>
      <c r="CV145" s="202">
        <f t="shared" si="80"/>
        <v>9984</v>
      </c>
      <c r="CW145" s="134">
        <f>CV145*$C$57</f>
        <v>0</v>
      </c>
      <c r="CX145" s="142">
        <f t="shared" si="81"/>
        <v>14926</v>
      </c>
      <c r="CY145" s="134">
        <f>CX145*$C$57</f>
        <v>0</v>
      </c>
      <c r="CZ145" s="142">
        <f t="shared" si="82"/>
        <v>58596</v>
      </c>
      <c r="DA145" s="143">
        <f>CZ145*$C$57</f>
        <v>0</v>
      </c>
      <c r="DB145" s="165">
        <f t="shared" si="120"/>
        <v>89603.248622423547</v>
      </c>
      <c r="DC145" s="140">
        <f t="shared" si="189"/>
        <v>0.42</v>
      </c>
      <c r="DD145" s="121" t="str">
        <f>IF($C$50="NEIN","NEIN",IF(DF145&lt;DE145,"JA","NEIN"))</f>
        <v>NEIN</v>
      </c>
      <c r="DE145" s="121">
        <f>DB145*$C$46</f>
        <v>23632.85682416421</v>
      </c>
      <c r="DF145" s="121">
        <f t="shared" si="190"/>
        <v>28365.834421417887</v>
      </c>
      <c r="DG145" s="201">
        <f>IF($C$50="NEIN",DE145,IF(DD145="NEIN",DE145,DF145))</f>
        <v>23632.85682416421</v>
      </c>
      <c r="DH145" s="159"/>
      <c r="DI145" s="74"/>
      <c r="DJ145" s="74"/>
      <c r="DK145" s="128"/>
      <c r="DL145" s="128"/>
      <c r="DM145" s="128"/>
      <c r="DN145" s="74"/>
      <c r="DO145" s="28">
        <f t="shared" si="83"/>
        <v>2086</v>
      </c>
      <c r="DP145" s="17">
        <f>IF($C$13+$C$10&gt;=DO145,-AG145,IF(DO145=$C$13+$C$10+1,$EK$93,0))</f>
        <v>0</v>
      </c>
      <c r="DQ145" s="17">
        <f t="shared" si="84"/>
        <v>4912066.8311049305</v>
      </c>
      <c r="DR145" s="17">
        <f t="shared" si="85"/>
        <v>17071122.680204082</v>
      </c>
      <c r="DS145" s="17">
        <f t="shared" ref="DS145:DS156" si="223">AG145+EB144</f>
        <v>284279.97100247769</v>
      </c>
      <c r="DT145" s="17">
        <f t="shared" si="191"/>
        <v>18570280.83679102</v>
      </c>
      <c r="DU145" s="17">
        <f t="shared" si="86"/>
        <v>1214878.1855844595</v>
      </c>
      <c r="DV145" s="33">
        <f t="shared" si="192"/>
        <v>8504.1472990912134</v>
      </c>
      <c r="DW145" s="32">
        <f t="shared" si="193"/>
        <v>371405.61673582043</v>
      </c>
      <c r="DX145" s="17">
        <f t="shared" si="87"/>
        <v>0</v>
      </c>
      <c r="DY145" s="17">
        <f t="shared" si="88"/>
        <v>0</v>
      </c>
      <c r="DZ145" s="17">
        <f t="shared" si="194"/>
        <v>0</v>
      </c>
      <c r="EA145" s="17">
        <f t="shared" ref="EA145:EA179" si="224">IF(DX144*$EK$86&gt;$EK$87,(DW145)*$EK$86*$EK$84,IF((DX144+DW145)*$EK$86&gt;$EK$87,((DX144+DW145)*$EK$86-$EK$87)*$EK$84,0))</f>
        <v>68359.498239850844</v>
      </c>
      <c r="EB145" s="15">
        <f t="shared" ref="EB145:EB176" si="225">IF($C$27="JA",DW145-EA145-DZ145,0)</f>
        <v>303046.11849596957</v>
      </c>
      <c r="EC145" s="15">
        <f>IF(DP145=0,EC144,IF(DO145&lt;=$EK$88+$C$10,ABS(DP145)+EC144,EC144))</f>
        <v>430891.77838569693</v>
      </c>
      <c r="ED145" s="15">
        <f t="shared" si="89"/>
        <v>1066348.7778287369</v>
      </c>
      <c r="EE145" s="16">
        <f t="shared" si="90"/>
        <v>18570280.83679102</v>
      </c>
      <c r="EF145" s="15">
        <f t="shared" si="195"/>
        <v>284279.97100247769</v>
      </c>
      <c r="EG145" s="15">
        <f t="shared" si="91"/>
        <v>4481175.0527192317</v>
      </c>
      <c r="EH145" s="16"/>
      <c r="EI145" s="16"/>
      <c r="EJ145"/>
      <c r="EK145"/>
      <c r="EL145"/>
      <c r="EM145" s="28">
        <f t="shared" si="92"/>
        <v>2086</v>
      </c>
      <c r="EN145" s="29">
        <f>IF($C$13+$C$10&gt;=EM145,-(AG145),IF(EM145=$C$13+$C$10+1,$FB$93,0))</f>
        <v>0</v>
      </c>
      <c r="EO145" s="30">
        <f t="shared" si="93"/>
        <v>415594.42447067803</v>
      </c>
      <c r="EP145" s="30">
        <f t="shared" si="94"/>
        <v>21280881.8575201</v>
      </c>
      <c r="EQ145" s="30">
        <f t="shared" ref="EQ145:EQ156" si="226">AG145-EV144</f>
        <v>-1799.2538115353993</v>
      </c>
      <c r="ER145" s="25">
        <f t="shared" si="196"/>
        <v>22768618.385968167</v>
      </c>
      <c r="ES145" s="30">
        <f t="shared" si="95"/>
        <v>1489535.7822596021</v>
      </c>
      <c r="ET145" s="26">
        <f t="shared" si="197"/>
        <v>10426.750475817196</v>
      </c>
      <c r="EU145" s="30">
        <f t="shared" si="96"/>
        <v>10426.750475817196</v>
      </c>
      <c r="EV145" s="25">
        <f t="shared" si="198"/>
        <v>1925.0388065977495</v>
      </c>
      <c r="EW145" s="31">
        <f t="shared" si="97"/>
        <v>156471.16773048224</v>
      </c>
      <c r="EX145" s="27">
        <f>IF(EM145=0,EX144,IF(EM145&lt;=$FB$88+$C$10,ABS(EN145)+EX144,EX144))</f>
        <v>430891.77838569693</v>
      </c>
      <c r="EY145" s="15"/>
      <c r="EZ145"/>
      <c r="FA145"/>
      <c r="FB145"/>
      <c r="FC145" s="74"/>
      <c r="FD145" s="74"/>
      <c r="FE145" s="74"/>
      <c r="FF145" s="74"/>
      <c r="FG145" s="74"/>
      <c r="FH145" s="74"/>
      <c r="FI145" s="74"/>
      <c r="FJ145" s="28">
        <f t="shared" si="98"/>
        <v>2086</v>
      </c>
      <c r="FK145" s="65">
        <f>IF($C$13+$C$10&gt;=FJ145,-AG145,IF(FJ145=$C$13+$C$10+1,$EK$93,0))</f>
        <v>0</v>
      </c>
      <c r="FL145" s="65">
        <f t="shared" si="99"/>
        <v>74118.803999999975</v>
      </c>
      <c r="FM145" s="65">
        <f t="shared" si="100"/>
        <v>1544858.5820442922</v>
      </c>
      <c r="FN145" s="65">
        <f t="shared" ref="FN145:FN156" si="227">IF(FY144&gt;=$GF$97,0,AG145+FW144)</f>
        <v>0</v>
      </c>
      <c r="FO145" s="65">
        <f t="shared" si="199"/>
        <v>1652998.6827873928</v>
      </c>
      <c r="FP145" s="65">
        <f t="shared" si="101"/>
        <v>108140.10074310051</v>
      </c>
      <c r="FQ145" s="59">
        <f t="shared" si="200"/>
        <v>756.98070520170313</v>
      </c>
      <c r="FR145" s="60">
        <f t="shared" si="201"/>
        <v>33059.973655747854</v>
      </c>
      <c r="FS145" s="65">
        <f t="shared" si="102"/>
        <v>0</v>
      </c>
      <c r="FT145" s="65">
        <f t="shared" si="103"/>
        <v>0</v>
      </c>
      <c r="FU145" s="65">
        <f t="shared" si="202"/>
        <v>0</v>
      </c>
      <c r="FV145" s="65">
        <f t="shared" ref="FV145:FV179" si="228">IF(FS144*$GF$86&gt;$GF$87,(FR145)*$GF$86*$GF$84,IF((FS144+FR145)*$GF$86&gt;$GF$87,((FS144+FR145)*$GF$86-$GF$87)*$GF$84,0))</f>
        <v>5892.4338861924471</v>
      </c>
      <c r="FW145" s="61">
        <f t="shared" ref="FW145:FW176" si="229">IF($C$27="JA",FR145-FV145-FU145,0)</f>
        <v>27167.539769555406</v>
      </c>
      <c r="FX145" s="61">
        <f>IF(AND(FJ145&lt;=$GF$88+$C$10,FV144&lt;=0,FN145&gt;0),(FJ145-$C$10+1)*AG145+$GF$80,FX144)</f>
        <v>73074.599999999977</v>
      </c>
      <c r="FY145" s="62">
        <f t="shared" ref="FY145:FY179" si="230">((FS144+FR145)*$GF$86-$GF$87)/$GF$87</f>
        <v>27.891362745347688</v>
      </c>
      <c r="FZ145" s="63">
        <f t="shared" si="104"/>
        <v>1652998.6827873928</v>
      </c>
      <c r="GA145" s="64">
        <f t="shared" si="105"/>
        <v>31527.726164169228</v>
      </c>
      <c r="GB145" s="64">
        <f t="shared" si="106"/>
        <v>647609.69650509942</v>
      </c>
      <c r="GC145" s="66">
        <f t="shared" si="203"/>
        <v>0</v>
      </c>
      <c r="GD145" s="64">
        <f t="shared" si="107"/>
        <v>1580.6039999999994</v>
      </c>
      <c r="GE145"/>
      <c r="GF145"/>
      <c r="GG145" s="74"/>
      <c r="GH145" s="74"/>
      <c r="GI145" s="28">
        <f t="shared" si="108"/>
        <v>2086</v>
      </c>
      <c r="GJ145" s="9">
        <f>IF($GX$88+$C$10&gt;=GI145,-AG145,IF(GI145=$GX$88+$C$10+1,$FB$93,0))</f>
        <v>0</v>
      </c>
      <c r="GK145" s="5">
        <f t="shared" si="109"/>
        <v>874803.98375019827</v>
      </c>
      <c r="GL145" s="5">
        <f t="shared" si="110"/>
        <v>19123203.806438874</v>
      </c>
      <c r="GM145" s="35">
        <f t="shared" ref="GM145:GM156" si="231">IF(FX144=$GF$94,AG145-GR144+FW144,0)</f>
        <v>24301.356801619531</v>
      </c>
      <c r="GN145" s="4">
        <f t="shared" si="204"/>
        <v>20487830.524667326</v>
      </c>
      <c r="GO145" s="5">
        <f t="shared" si="111"/>
        <v>1340325.361426834</v>
      </c>
      <c r="GP145" s="5">
        <f t="shared" si="205"/>
        <v>9382.2775299878394</v>
      </c>
      <c r="GQ145" s="5">
        <f t="shared" si="112"/>
        <v>9382.2775299878394</v>
      </c>
      <c r="GR145" s="4">
        <f t="shared" si="206"/>
        <v>1732.2029889740047</v>
      </c>
      <c r="GS145" s="7">
        <f t="shared" si="113"/>
        <v>137291.18578641978</v>
      </c>
      <c r="GT145" s="107" t="e">
        <f>IF($DG$62=0,EX145,IF(GI145-$C$10+1&lt;=$GF$98,0,#REF!-FX145))</f>
        <v>#REF!</v>
      </c>
      <c r="GU145"/>
      <c r="GV145"/>
      <c r="GW145"/>
      <c r="GX145"/>
      <c r="GY145" s="74"/>
      <c r="GZ145" s="74"/>
      <c r="HA145" s="74"/>
      <c r="HB145" s="74"/>
      <c r="HC145" s="74"/>
      <c r="HD145" s="74"/>
    </row>
    <row r="146" spans="2:212" ht="16.149999999999999" thickBot="1" x14ac:dyDescent="0.55000000000000004">
      <c r="B146" s="333"/>
      <c r="C146" s="75"/>
      <c r="D146" s="75"/>
      <c r="F146" s="75"/>
      <c r="G146" s="75"/>
      <c r="H146" s="75"/>
      <c r="I146" s="75"/>
      <c r="J146" s="75"/>
      <c r="K146" s="75"/>
      <c r="L146" s="75"/>
      <c r="M146" s="75"/>
      <c r="O146" s="75"/>
      <c r="P146" s="75"/>
      <c r="Q146" s="75"/>
      <c r="R146" s="75"/>
      <c r="S146" s="290"/>
      <c r="T146" s="291"/>
      <c r="U146" s="291"/>
      <c r="V146" s="292"/>
      <c r="W146" s="292"/>
      <c r="AB146" s="117" t="str">
        <f t="shared" si="207"/>
        <v/>
      </c>
      <c r="AC146" s="117" t="str">
        <f t="shared" si="208"/>
        <v/>
      </c>
      <c r="AD146" s="299">
        <f>IF($C$20="NEIN",$C$21,IF($C$22="JA",'HISTORISCHE RENDITEN'!E70,'HISTORISCHE RENDITEN'!D70))</f>
        <v>-7.1399999999999991E-2</v>
      </c>
      <c r="AE146" s="129">
        <f t="shared" si="174"/>
        <v>94</v>
      </c>
      <c r="AF146" s="120">
        <f t="shared" si="209"/>
        <v>2087</v>
      </c>
      <c r="AG146" s="122">
        <f t="shared" si="175"/>
        <v>0</v>
      </c>
      <c r="AH146" s="124">
        <f t="shared" si="210"/>
        <v>430891.77838569693</v>
      </c>
      <c r="AI146" s="296">
        <f t="shared" ref="AI146:AI155" si="232">BJ145</f>
        <v>646748.03899395489</v>
      </c>
      <c r="AJ146" s="123">
        <f t="shared" ref="AJ146:AJ199" si="233">AG146+AW146-AQ145</f>
        <v>0</v>
      </c>
      <c r="AK146" s="124">
        <f t="shared" si="211"/>
        <v>600570.2290097865</v>
      </c>
      <c r="AL146" s="122">
        <f t="shared" si="176"/>
        <v>-46177.809984168387</v>
      </c>
      <c r="AM146" s="122" t="b">
        <f>IF($C$25="Ausschütter",0,IF(AL146&gt;=0,(AI146+AJ146)*$C$48*0.7))</f>
        <v>0</v>
      </c>
      <c r="AN146" s="122">
        <f t="shared" si="177"/>
        <v>0</v>
      </c>
      <c r="AO146" s="122">
        <f t="shared" si="212"/>
        <v>0</v>
      </c>
      <c r="AP146" s="122">
        <f t="shared" ref="AP146:AP155" si="234">AP145+AO146</f>
        <v>22325.497166619713</v>
      </c>
      <c r="AQ146" s="122">
        <f>IF($C$25="AUSSCHÜTTER",0,IF(AO146*$C$46*$C$49&lt;=$C$47,0,AO146*$C$46*$C$49))</f>
        <v>0</v>
      </c>
      <c r="AR146" s="122">
        <f>IF(AO145*$C$49&gt;$C$47,(AN146)*$C$49*$C$46,IF((AO145+AN146)*$C$49&gt;$C$47,((AO145+AN146)*$C$49-$C$47)*$C$46,0))</f>
        <v>0</v>
      </c>
      <c r="AS146" s="122">
        <f t="shared" ref="AS146:AS155" si="235">AN146-AR146-AQ146</f>
        <v>0</v>
      </c>
      <c r="AT146" s="122">
        <f t="shared" si="213"/>
        <v>430891.77838569693</v>
      </c>
      <c r="AU146" s="122">
        <f t="shared" ref="AU146:AU155" si="236">SUM(AR146+AQ146)+AU145</f>
        <v>0</v>
      </c>
      <c r="AV146" s="122">
        <f t="shared" ref="AV146:AV155" si="237">AK146</f>
        <v>600570.2290097865</v>
      </c>
      <c r="AW146" s="122">
        <f t="shared" si="214"/>
        <v>0</v>
      </c>
      <c r="AX146" s="130">
        <f t="shared" si="215"/>
        <v>0</v>
      </c>
      <c r="AY146" s="82">
        <f>IF(AF146&lt;$C$11,$C$15*(1+$C$19)^(AF146-$C$10),0)</f>
        <v>0</v>
      </c>
      <c r="AZ146" s="82">
        <f>$C$14*(1+$C$37)^(AF146-$C$10)</f>
        <v>91843.329837984144</v>
      </c>
      <c r="BA146" s="165">
        <f>IF(AF146&lt;$C$11,0,MAX($C$38*AI146,AZ146))</f>
        <v>91843.329837984144</v>
      </c>
      <c r="BB146" s="82">
        <f>IF(AF146&lt;$C$11,0,MAX($C$38*AI146,AZ146))</f>
        <v>91843.329837984144</v>
      </c>
      <c r="BC146" s="136">
        <f>IF($C$39="JA",CT146,DG146)</f>
        <v>24223.678244768318</v>
      </c>
      <c r="BD146" s="82">
        <f t="shared" si="178"/>
        <v>0</v>
      </c>
      <c r="BE146" s="82">
        <f>IF(AF146&lt;($C$8+$C$30),0,$C$29*12*(1-$C$31))</f>
        <v>0</v>
      </c>
      <c r="BF146" s="82">
        <f>IF(AF146&lt;($C$8+$C$34),0,$C$33*12*(1-$C$35))</f>
        <v>0</v>
      </c>
      <c r="BG146" s="82">
        <f>IF(AF146&lt;$C$11,0,IF(AI146&lt;0,$C$42*(1+$C$44)^(AF146-$C$10),IF(((AL146+BE146+BF146)*$C$41)&lt;$C$42*(1+$C$44)^(AF146-$C$10),$C$42*(1+$C$44)^(AF146-$C$10),IF(((AL146+BE146+BF146)*$C$41)&lt;$C$43*(1+$C$44)^(AF146-$C$10),(AL146+BE146+BF146)*$C$41,IF(((AL146+BE146+BF146+BB146)*$C$41)&lt;$C$43*(1+$C$44)^(AF146-$C$10),((AL146+BE146+BF146+BB146)*$C$41),$C$43*(1+$C$44)^(AF146-$C$10))))))</f>
        <v>6411.6532945424988</v>
      </c>
      <c r="BH146" s="82">
        <f t="shared" ref="BH146:BH199" si="238">IF(AF146&lt;$C$11,AZ146+BG146+BC146+AR146+AQ146+BD146,BG146+AQ146+AR146+BC146+(BB146-BD146)+BD146)</f>
        <v>122478.66137729496</v>
      </c>
      <c r="BI146" s="242">
        <f t="shared" si="216"/>
        <v>600570.2290097865</v>
      </c>
      <c r="BJ146" s="217">
        <f t="shared" si="217"/>
        <v>478091.56763249153</v>
      </c>
      <c r="BK146" s="118"/>
      <c r="BL146" s="219">
        <f t="shared" si="179"/>
        <v>50</v>
      </c>
      <c r="BM146" s="220">
        <f t="shared" si="180"/>
        <v>67</v>
      </c>
      <c r="BN146" s="220">
        <f t="shared" si="173"/>
        <v>0</v>
      </c>
      <c r="BO146" s="221">
        <f t="shared" si="181"/>
        <v>0</v>
      </c>
      <c r="BP146" s="221">
        <f t="shared" si="182"/>
        <v>0</v>
      </c>
      <c r="BQ146" s="222">
        <f t="shared" si="183"/>
        <v>0</v>
      </c>
      <c r="BR146" s="223">
        <f>IF(BM146&lt;$C$11-$C$10+1,0,IF(BL146&lt;=$C$13,VLOOKUP(BL146,$BN$80:$BQ$156,2,FALSE)-BS146,0))</f>
        <v>0</v>
      </c>
      <c r="BS146" s="223">
        <f>IF(BM146&lt;$C$11-$C$10+1,0,IF(BL146&lt;=$C$13,VLOOKUP(BL146,$BN$80:$BQ$156,3,FALSE),0))</f>
        <v>0</v>
      </c>
      <c r="BT146" s="222">
        <f>IF(BM146&lt;$C$11-$C$10+1,0,IF(BL146&lt;=$C$13,VLOOKUP(BL146,$BN$80:$BQ$156,4,FALSE),0))</f>
        <v>0</v>
      </c>
      <c r="BU146" s="223">
        <f t="shared" si="218"/>
        <v>0</v>
      </c>
      <c r="BV146" s="223">
        <f t="shared" si="219"/>
        <v>0</v>
      </c>
      <c r="BW146" s="223">
        <f t="shared" si="118"/>
        <v>0</v>
      </c>
      <c r="BX146" s="223">
        <f>IF(AND(BS146&lt;=0,BN146=0),MIN((MAX($BZ$80:$BZ$156)-SUM($BX$80:BX145)),CA146),IF(BS146&lt;CA146,BS146,CA146))</f>
        <v>0</v>
      </c>
      <c r="BY146" s="222">
        <f>IF(BN146&gt;0,0,IF(AND(BN146=0,BT146&lt;=0),100%,((BW145*(AVERAGE($BT$80:BT145))+(BR146*BT146))/(BR146+BW145+BS146+BV145))))</f>
        <v>1</v>
      </c>
      <c r="BZ146" s="139">
        <f t="shared" si="220"/>
        <v>430891.77838569693</v>
      </c>
      <c r="CA146" s="122">
        <f t="shared" si="184"/>
        <v>91843.329837984144</v>
      </c>
      <c r="CB146" s="181">
        <f t="shared" si="221"/>
        <v>1</v>
      </c>
      <c r="CC146" s="122">
        <f t="shared" si="222"/>
        <v>2857819.0727799824</v>
      </c>
      <c r="CD146" s="182">
        <f t="shared" si="119"/>
        <v>0</v>
      </c>
      <c r="CE146" s="122">
        <f t="shared" ref="CE146:CE155" si="239">CD146+CE145</f>
        <v>430891.77838569693</v>
      </c>
      <c r="CF146" s="122">
        <f t="shared" ref="CF146:CF155" si="240">BZ146-CE146</f>
        <v>0</v>
      </c>
      <c r="CG146" s="122" t="str">
        <f t="shared" si="185"/>
        <v/>
      </c>
      <c r="CH146" s="140">
        <f t="shared" si="186"/>
        <v>1</v>
      </c>
      <c r="CI146" s="142">
        <f t="shared" ref="CI146:CI155" si="241">CI145+CJ145</f>
        <v>9984</v>
      </c>
      <c r="CJ146" s="134">
        <f>CI146*$C$57</f>
        <v>0</v>
      </c>
      <c r="CK146" s="142">
        <f t="shared" ref="CK146:CK155" si="242">CK145+CL145</f>
        <v>14926</v>
      </c>
      <c r="CL146" s="134">
        <f>CK146*$C$57</f>
        <v>0</v>
      </c>
      <c r="CM146" s="142">
        <f t="shared" ref="CM146:CM155" si="243">CM145+CN145</f>
        <v>58596</v>
      </c>
      <c r="CN146" s="134">
        <f>CM146*$C$57</f>
        <v>0</v>
      </c>
      <c r="CO146" s="132">
        <f t="shared" si="117"/>
        <v>91843.329837984144</v>
      </c>
      <c r="CP146" s="140">
        <f t="shared" si="187"/>
        <v>0.42</v>
      </c>
      <c r="CQ146" s="121" t="str">
        <f>IF($C$50="NEIN","NEIN",IF(CS146&lt;CR146,"JA","NEIN"))</f>
        <v>NEIN</v>
      </c>
      <c r="CR146" s="121">
        <f>CO146*$C$46</f>
        <v>24223.678244768318</v>
      </c>
      <c r="CS146" s="121">
        <f t="shared" si="188"/>
        <v>29306.668531953343</v>
      </c>
      <c r="CT146" s="201">
        <f>IF($C$50="NEIN",CR146,IF(CQ146="NEIN",CR146,CS146))</f>
        <v>24223.678244768318</v>
      </c>
      <c r="CU146" s="149"/>
      <c r="CV146" s="202">
        <f t="shared" ref="CV146:CV155" si="244">CV145+CW145</f>
        <v>9984</v>
      </c>
      <c r="CW146" s="134">
        <f>CV146*$C$57</f>
        <v>0</v>
      </c>
      <c r="CX146" s="142">
        <f t="shared" ref="CX146:CX155" si="245">CX145+CY145</f>
        <v>14926</v>
      </c>
      <c r="CY146" s="134">
        <f>CX146*$C$57</f>
        <v>0</v>
      </c>
      <c r="CZ146" s="142">
        <f t="shared" ref="CZ146:CZ155" si="246">CZ145+DA145</f>
        <v>58596</v>
      </c>
      <c r="DA146" s="143">
        <f>CZ146*$C$57</f>
        <v>0</v>
      </c>
      <c r="DB146" s="165">
        <f t="shared" si="120"/>
        <v>91843.329837984144</v>
      </c>
      <c r="DC146" s="140">
        <f t="shared" si="189"/>
        <v>0.42</v>
      </c>
      <c r="DD146" s="121" t="str">
        <f>IF($C$50="NEIN","NEIN",IF(DF146&lt;DE146,"JA","NEIN"))</f>
        <v>NEIN</v>
      </c>
      <c r="DE146" s="121">
        <f>DB146*$C$46</f>
        <v>24223.678244768318</v>
      </c>
      <c r="DF146" s="121">
        <f t="shared" si="190"/>
        <v>29306.668531953343</v>
      </c>
      <c r="DG146" s="201">
        <f>IF($C$50="NEIN",DE146,IF(DD146="NEIN",DE146,DF146))</f>
        <v>24223.678244768318</v>
      </c>
      <c r="DH146" s="159"/>
      <c r="DI146" s="74"/>
      <c r="DJ146" s="74"/>
      <c r="DK146" s="128"/>
      <c r="DL146" s="128"/>
      <c r="DM146" s="128"/>
      <c r="DN146" s="74"/>
      <c r="DO146" s="28">
        <f t="shared" ref="DO146:DO179" si="247">DO145+1</f>
        <v>2087</v>
      </c>
      <c r="DP146" s="17">
        <f>IF($C$13+$C$10&gt;=DO146,-AG146,IF(DO146=$C$13+$C$10+1,$EK$93,0))</f>
        <v>0</v>
      </c>
      <c r="DQ146" s="17">
        <f t="shared" ref="DQ146:DQ179" si="248">DQ145+DS146</f>
        <v>5215112.9496008996</v>
      </c>
      <c r="DR146" s="17">
        <f t="shared" ref="DR146:DR179" si="249">DT145-DW145</f>
        <v>18198875.2200552</v>
      </c>
      <c r="DS146" s="17">
        <f t="shared" si="223"/>
        <v>303046.11849596957</v>
      </c>
      <c r="DT146" s="17">
        <f t="shared" si="191"/>
        <v>19797055.832249753</v>
      </c>
      <c r="DU146" s="17">
        <f t="shared" ref="DU146:DU179" si="250">DT146-(DS146+DR146)</f>
        <v>1295134.4936985821</v>
      </c>
      <c r="DV146" s="33">
        <f t="shared" si="192"/>
        <v>9065.9414558900735</v>
      </c>
      <c r="DW146" s="32">
        <f t="shared" si="193"/>
        <v>395941.11664499505</v>
      </c>
      <c r="DX146" s="17">
        <f t="shared" ref="DX146:DX179" si="251">IF(DU146&gt;0,MAX(DV146-DW146,0),0)</f>
        <v>0</v>
      </c>
      <c r="DY146" s="17">
        <f t="shared" ref="DY146:DY179" si="252">DY145+DX146</f>
        <v>0</v>
      </c>
      <c r="DZ146" s="17">
        <f t="shared" si="194"/>
        <v>0</v>
      </c>
      <c r="EA146" s="17">
        <f t="shared" si="224"/>
        <v>72889.364910582211</v>
      </c>
      <c r="EB146" s="15">
        <f t="shared" si="225"/>
        <v>323051.75173441286</v>
      </c>
      <c r="EC146" s="15">
        <f>IF(DP146=0,EC145,IF(DO146&lt;=$EK$88+$C$10,ABS(DP146)+EC145,EC145))</f>
        <v>430891.77838569693</v>
      </c>
      <c r="ED146" s="15">
        <f t="shared" ref="ED146:ED179" si="253">SUM(EA146+DZ146)+ED145</f>
        <v>1139238.1427393192</v>
      </c>
      <c r="EE146" s="16">
        <f t="shared" ref="EE146:EE179" si="254">DT146</f>
        <v>19797055.832249753</v>
      </c>
      <c r="EF146" s="15">
        <f t="shared" si="195"/>
        <v>303046.11849596957</v>
      </c>
      <c r="EG146" s="15">
        <f t="shared" ref="EG146:EG179" si="255">EF146+EG145</f>
        <v>4784221.1712152008</v>
      </c>
      <c r="EH146" s="16"/>
      <c r="EI146" s="16"/>
      <c r="EJ146"/>
      <c r="EK146"/>
      <c r="EL146"/>
      <c r="EM146" s="28">
        <f t="shared" ref="EM146:EM180" si="256">EM145+1</f>
        <v>2087</v>
      </c>
      <c r="EN146" s="29">
        <f>IF($C$13+$C$10&gt;=EM146,-(AG146),IF(EM146=$C$13+$C$10+1,$FB$93,0))</f>
        <v>0</v>
      </c>
      <c r="EO146" s="30">
        <f t="shared" ref="EO146:EO180" si="257">EO145+EQ146</f>
        <v>413669.38566408027</v>
      </c>
      <c r="EP146" s="30">
        <f t="shared" ref="EP146:EP180" si="258">ER145</f>
        <v>22768618.385968167</v>
      </c>
      <c r="EQ146" s="30">
        <f t="shared" si="226"/>
        <v>-1925.0388065977495</v>
      </c>
      <c r="ER146" s="25">
        <f t="shared" si="196"/>
        <v>24360361.881462879</v>
      </c>
      <c r="ES146" s="30">
        <f t="shared" ref="ES146:ES180" si="259">ER146-(EQ146+EP146)</f>
        <v>1593668.5343013108</v>
      </c>
      <c r="ET146" s="26">
        <f t="shared" si="197"/>
        <v>11155.679740109168</v>
      </c>
      <c r="EU146" s="30">
        <f t="shared" ref="EU146:EU180" si="260">IF(ES146&gt;0,MIN(ES146,ET146),0)</f>
        <v>11155.679740109168</v>
      </c>
      <c r="EV146" s="25">
        <f t="shared" si="198"/>
        <v>2059.6173720176548</v>
      </c>
      <c r="EW146" s="31">
        <f t="shared" ref="EW146:EW180" si="261">EW145+EU146</f>
        <v>167626.8474705914</v>
      </c>
      <c r="EX146" s="27">
        <f>IF(EM146=0,EX145,IF(EM146&lt;=$FB$88+$C$10,ABS(EN146)+EX145,EX145))</f>
        <v>430891.77838569693</v>
      </c>
      <c r="EY146" s="15"/>
      <c r="EZ146"/>
      <c r="FA146"/>
      <c r="FB146"/>
      <c r="FC146" s="74"/>
      <c r="FD146" s="74"/>
      <c r="FE146" s="74"/>
      <c r="FF146" s="74"/>
      <c r="FG146" s="74"/>
      <c r="FH146" s="74"/>
      <c r="FI146" s="74"/>
      <c r="FJ146" s="28">
        <f t="shared" ref="FJ146:FJ179" si="262">FJ145+1</f>
        <v>2087</v>
      </c>
      <c r="FK146" s="65">
        <f>IF($C$13+$C$10&gt;=FJ146,-AG146,IF(FJ146=$C$13+$C$10+1,$EK$93,0))</f>
        <v>0</v>
      </c>
      <c r="FL146" s="65">
        <f t="shared" ref="FL146:FL179" si="263">FL145+FN146</f>
        <v>74118.803999999975</v>
      </c>
      <c r="FM146" s="65">
        <f t="shared" ref="FM146:FM179" si="264">FO145-FR145</f>
        <v>1619938.7091316448</v>
      </c>
      <c r="FN146" s="65">
        <f t="shared" si="227"/>
        <v>0</v>
      </c>
      <c r="FO146" s="65">
        <f t="shared" si="199"/>
        <v>1733334.4187708599</v>
      </c>
      <c r="FP146" s="65">
        <f t="shared" ref="FP146:FP179" si="265">FO146-(FN146+FM146)</f>
        <v>113395.70963921514</v>
      </c>
      <c r="FQ146" s="59">
        <f t="shared" si="200"/>
        <v>793.76996747450585</v>
      </c>
      <c r="FR146" s="60">
        <f t="shared" si="201"/>
        <v>34666.688375417201</v>
      </c>
      <c r="FS146" s="65">
        <f t="shared" ref="FS146:FS179" si="266">IF(FP146&gt;0,MAX(FQ146-FR146,0),0)</f>
        <v>0</v>
      </c>
      <c r="FT146" s="65">
        <f t="shared" ref="FT146:FT179" si="267">FT145+FS146</f>
        <v>0</v>
      </c>
      <c r="FU146" s="65">
        <f t="shared" si="202"/>
        <v>0</v>
      </c>
      <c r="FV146" s="65">
        <f t="shared" si="228"/>
        <v>6189.0735913114004</v>
      </c>
      <c r="FW146" s="61">
        <f t="shared" si="229"/>
        <v>28477.614784105801</v>
      </c>
      <c r="FX146" s="61">
        <f>IF(AND(FJ146&lt;=$GF$88+$C$10,FV145&lt;=0,FN146&gt;0),(FJ146-$C$10+1)*AG146+$GF$80,FX145)</f>
        <v>73074.599999999977</v>
      </c>
      <c r="FY146" s="62">
        <f t="shared" si="230"/>
        <v>29.295482974771584</v>
      </c>
      <c r="FZ146" s="63">
        <f t="shared" ref="FZ146:FZ179" si="268">FO146</f>
        <v>1733334.4187708599</v>
      </c>
      <c r="GA146" s="64">
        <f t="shared" ref="GA146:GA179" si="269">FR145</f>
        <v>33059.973655747854</v>
      </c>
      <c r="GB146" s="64">
        <f t="shared" ref="GB146:GB179" si="270">GA146+GB145</f>
        <v>680669.67016084725</v>
      </c>
      <c r="GC146" s="66">
        <f t="shared" si="203"/>
        <v>0</v>
      </c>
      <c r="GD146" s="64">
        <f t="shared" ref="GD146:GD179" si="271">GC146+GD145</f>
        <v>1580.6039999999994</v>
      </c>
      <c r="GE146"/>
      <c r="GF146"/>
      <c r="GG146" s="74"/>
      <c r="GH146" s="74"/>
      <c r="GI146" s="28">
        <f t="shared" ref="GI146:GI179" si="272">GI145+1</f>
        <v>2087</v>
      </c>
      <c r="GJ146" s="9">
        <f>IF($GX$88+$C$10&gt;=GI146,-AG146,IF(GI146=$GX$88+$C$10+1,$FB$93,0))</f>
        <v>0</v>
      </c>
      <c r="GK146" s="5">
        <f t="shared" ref="GK146:GK179" si="273">GK145+GM146</f>
        <v>900239.32053077966</v>
      </c>
      <c r="GL146" s="5">
        <f t="shared" ref="GL146:GL179" si="274">GN145</f>
        <v>20487830.524667326</v>
      </c>
      <c r="GM146" s="35">
        <f t="shared" si="231"/>
        <v>25435.336780581401</v>
      </c>
      <c r="GN146" s="4">
        <f t="shared" si="204"/>
        <v>21949194.471749261</v>
      </c>
      <c r="GO146" s="5">
        <f t="shared" ref="GO146:GO179" si="275">GN146-(GM146+GL146)</f>
        <v>1435928.610301353</v>
      </c>
      <c r="GP146" s="5">
        <f t="shared" si="205"/>
        <v>10051.500272109473</v>
      </c>
      <c r="GQ146" s="5">
        <f t="shared" ref="GQ146:GQ179" si="276">IF(GO146&gt;0,MIN(GO146,GP146),0)</f>
        <v>10051.500272109473</v>
      </c>
      <c r="GR146" s="4">
        <f t="shared" si="206"/>
        <v>1855.7582377382112</v>
      </c>
      <c r="GS146" s="7">
        <f t="shared" ref="GS146:GS179" si="277">GS145+GQ146</f>
        <v>147342.68605852925</v>
      </c>
      <c r="GT146" s="107" t="e">
        <f>IF($DG$62=0,EX146,IF(GI146-$C$10+1&lt;=$GF$98,0,#REF!-FX146))</f>
        <v>#REF!</v>
      </c>
      <c r="GU146"/>
      <c r="GV146"/>
      <c r="GW146"/>
      <c r="GX146"/>
      <c r="GY146" s="74"/>
      <c r="GZ146" s="74"/>
      <c r="HA146" s="74"/>
      <c r="HB146" s="74"/>
      <c r="HC146" s="74"/>
      <c r="HD146" s="74"/>
    </row>
    <row r="147" spans="2:212" ht="16.149999999999999" thickBot="1" x14ac:dyDescent="0.55000000000000004">
      <c r="B147" s="333"/>
      <c r="C147" s="75"/>
      <c r="D147" s="75"/>
      <c r="F147" s="75"/>
      <c r="G147" s="75"/>
      <c r="H147" s="75"/>
      <c r="I147" s="75"/>
      <c r="J147" s="75"/>
      <c r="K147" s="75"/>
      <c r="L147" s="75"/>
      <c r="M147" s="75"/>
      <c r="O147" s="75"/>
      <c r="P147" s="75"/>
      <c r="Q147" s="75"/>
      <c r="R147" s="75"/>
      <c r="S147" s="290"/>
      <c r="T147" s="291"/>
      <c r="U147" s="291"/>
      <c r="V147" s="292"/>
      <c r="W147" s="292"/>
      <c r="AB147" s="117" t="str">
        <f t="shared" si="207"/>
        <v/>
      </c>
      <c r="AC147" s="117" t="str">
        <f t="shared" si="208"/>
        <v/>
      </c>
      <c r="AD147" s="299">
        <f>IF($C$20="NEIN",$C$21,IF($C$22="JA",'HISTORISCHE RENDITEN'!E71,'HISTORISCHE RENDITEN'!D71))</f>
        <v>0.2039</v>
      </c>
      <c r="AE147" s="129">
        <f t="shared" si="174"/>
        <v>95</v>
      </c>
      <c r="AF147" s="120">
        <f t="shared" si="209"/>
        <v>2088</v>
      </c>
      <c r="AG147" s="122">
        <f t="shared" si="175"/>
        <v>0</v>
      </c>
      <c r="AH147" s="124">
        <f t="shared" si="210"/>
        <v>430891.77838569693</v>
      </c>
      <c r="AI147" s="296">
        <f t="shared" si="232"/>
        <v>478091.56763249153</v>
      </c>
      <c r="AJ147" s="123">
        <f t="shared" si="233"/>
        <v>0</v>
      </c>
      <c r="AK147" s="124">
        <f t="shared" si="211"/>
        <v>575574.43827275652</v>
      </c>
      <c r="AL147" s="122">
        <f t="shared" si="176"/>
        <v>97482.870640264999</v>
      </c>
      <c r="AM147" s="122">
        <f>IF($C$25="Ausschütter",0,IF(AL147&gt;=0,(AI147+AJ147)*$C$48*0.7))</f>
        <v>234.26486813992082</v>
      </c>
      <c r="AN147" s="122">
        <f t="shared" si="177"/>
        <v>0</v>
      </c>
      <c r="AO147" s="122">
        <f t="shared" si="212"/>
        <v>234.26486813992082</v>
      </c>
      <c r="AP147" s="122">
        <f t="shared" si="234"/>
        <v>22559.762034759635</v>
      </c>
      <c r="AQ147" s="122">
        <f>IF($C$25="AUSSCHÜTTER",0,IF(AO147*$C$46*$C$49&lt;=$C$47,0,AO147*$C$46*$C$49))</f>
        <v>0</v>
      </c>
      <c r="AR147" s="122">
        <f>IF(AO146*$C$49&gt;$C$47,(AN147)*$C$49*$C$46,IF((AO146+AN147)*$C$49&gt;$C$47,((AO146+AN147)*$C$49-$C$47)*$C$46,0))</f>
        <v>0</v>
      </c>
      <c r="AS147" s="122">
        <f t="shared" si="235"/>
        <v>0</v>
      </c>
      <c r="AT147" s="122">
        <f t="shared" si="213"/>
        <v>430891.77838569693</v>
      </c>
      <c r="AU147" s="122">
        <f t="shared" si="236"/>
        <v>0</v>
      </c>
      <c r="AV147" s="122">
        <f t="shared" si="237"/>
        <v>575574.43827275652</v>
      </c>
      <c r="AW147" s="122">
        <f t="shared" si="214"/>
        <v>0</v>
      </c>
      <c r="AX147" s="130">
        <f t="shared" si="215"/>
        <v>0</v>
      </c>
      <c r="AY147" s="82">
        <f>IF(AF147&lt;$C$11,$C$15*(1+$C$19)^(AF147-$C$10),0)</f>
        <v>0</v>
      </c>
      <c r="AZ147" s="82">
        <f>$C$14*(1+$C$37)^(AF147-$C$10)</f>
        <v>94139.413083933745</v>
      </c>
      <c r="BA147" s="165">
        <f>IF(AF147&lt;$C$11,0,MAX($C$38*AI147,AZ147))</f>
        <v>94139.413083933745</v>
      </c>
      <c r="BB147" s="82">
        <f>IF(AF147&lt;$C$11,0,MAX($C$38*AI147,AZ147))</f>
        <v>94139.413083933745</v>
      </c>
      <c r="BC147" s="136">
        <f>IF($C$39="JA",CT147,DG147)</f>
        <v>24829.270200887524</v>
      </c>
      <c r="BD147" s="82">
        <f t="shared" si="178"/>
        <v>0</v>
      </c>
      <c r="BE147" s="82">
        <f>IF(AF147&lt;($C$8+$C$30),0,$C$29*12*(1-$C$31))</f>
        <v>0</v>
      </c>
      <c r="BF147" s="82">
        <f>IF(AF147&lt;($C$8+$C$34),0,$C$33*12*(1-$C$35))</f>
        <v>0</v>
      </c>
      <c r="BG147" s="82">
        <f>IF(AF147&lt;$C$11,0,IF(AI147&lt;0,$C$42*(1+$C$44)^(AF147-$C$10),IF(((AL147+BE147+BF147)*$C$41)&lt;$C$42*(1+$C$44)^(AF147-$C$10),$C$42*(1+$C$44)^(AF147-$C$10),IF(((AL147+BE147+BF147)*$C$41)&lt;$C$43*(1+$C$44)^(AF147-$C$10),(AL147+BE147+BF147)*$C$41,IF(((AL147+BE147+BF147+BB147)*$C$41)&lt;$C$43*(1+$C$44)^(AF147-$C$10),((AL147+BE147+BF147+BB147)*$C$41),$C$43*(1+$C$44)^(AF147-$C$10))))))</f>
        <v>18521.74542165035</v>
      </c>
      <c r="BH147" s="82">
        <f t="shared" si="238"/>
        <v>137490.42870647163</v>
      </c>
      <c r="BI147" s="242">
        <f t="shared" si="216"/>
        <v>575574.43827275652</v>
      </c>
      <c r="BJ147" s="217">
        <f t="shared" si="217"/>
        <v>438084.00956628489</v>
      </c>
      <c r="BK147" s="118"/>
      <c r="BL147" s="219">
        <f t="shared" si="179"/>
        <v>51</v>
      </c>
      <c r="BM147" s="220">
        <f t="shared" si="180"/>
        <v>68</v>
      </c>
      <c r="BN147" s="220">
        <f t="shared" si="173"/>
        <v>0</v>
      </c>
      <c r="BO147" s="221">
        <f t="shared" si="181"/>
        <v>0</v>
      </c>
      <c r="BP147" s="221">
        <f t="shared" si="182"/>
        <v>0</v>
      </c>
      <c r="BQ147" s="222">
        <f t="shared" si="183"/>
        <v>0</v>
      </c>
      <c r="BR147" s="223">
        <f>IF(BM147&lt;$C$11-$C$10+1,0,IF(BL147&lt;=$C$13,VLOOKUP(BL147,$BN$80:$BQ$156,2,FALSE)-BS147,0))</f>
        <v>0</v>
      </c>
      <c r="BS147" s="223">
        <f>IF(BM147&lt;$C$11-$C$10+1,0,IF(BL147&lt;=$C$13,VLOOKUP(BL147,$BN$80:$BQ$156,3,FALSE),0))</f>
        <v>0</v>
      </c>
      <c r="BT147" s="222">
        <f>IF(BM147&lt;$C$11-$C$10+1,0,IF(BL147&lt;=$C$13,VLOOKUP(BL147,$BN$80:$BQ$156,4,FALSE),0))</f>
        <v>0</v>
      </c>
      <c r="BU147" s="223">
        <f t="shared" si="218"/>
        <v>0</v>
      </c>
      <c r="BV147" s="223">
        <f t="shared" si="219"/>
        <v>0</v>
      </c>
      <c r="BW147" s="223">
        <f t="shared" si="118"/>
        <v>0</v>
      </c>
      <c r="BX147" s="223">
        <f>IF(AND(BS147&lt;=0,BN147=0),MIN((MAX($BZ$80:$BZ$156)-SUM($BX$80:BX146)),CA147),IF(BS147&lt;CA147,BS147,CA147))</f>
        <v>0</v>
      </c>
      <c r="BY147" s="222">
        <f>IF(BN147&gt;0,0,IF(AND(BN147=0,BT147&lt;=0),100%,((BW146*(AVERAGE($BT$80:BT146))+(BR147*BT147))/(BR147+BW146+BS147+BV146))))</f>
        <v>1</v>
      </c>
      <c r="BZ147" s="139">
        <f t="shared" si="220"/>
        <v>430891.77838569693</v>
      </c>
      <c r="CA147" s="122">
        <f t="shared" si="184"/>
        <v>94139.413083933745</v>
      </c>
      <c r="CB147" s="181">
        <f t="shared" si="221"/>
        <v>1</v>
      </c>
      <c r="CC147" s="122">
        <f t="shared" si="222"/>
        <v>2951958.4858639161</v>
      </c>
      <c r="CD147" s="182">
        <f t="shared" si="119"/>
        <v>0</v>
      </c>
      <c r="CE147" s="122">
        <f t="shared" si="239"/>
        <v>430891.77838569693</v>
      </c>
      <c r="CF147" s="122">
        <f t="shared" si="240"/>
        <v>0</v>
      </c>
      <c r="CG147" s="122" t="str">
        <f t="shared" si="185"/>
        <v/>
      </c>
      <c r="CH147" s="140">
        <f t="shared" si="186"/>
        <v>1</v>
      </c>
      <c r="CI147" s="142">
        <f t="shared" si="241"/>
        <v>9984</v>
      </c>
      <c r="CJ147" s="134">
        <f>CI147*$C$57</f>
        <v>0</v>
      </c>
      <c r="CK147" s="142">
        <f t="shared" si="242"/>
        <v>14926</v>
      </c>
      <c r="CL147" s="134">
        <f>CK147*$C$57</f>
        <v>0</v>
      </c>
      <c r="CM147" s="142">
        <f t="shared" si="243"/>
        <v>58596</v>
      </c>
      <c r="CN147" s="134">
        <f>CM147*$C$57</f>
        <v>0</v>
      </c>
      <c r="CO147" s="132">
        <f t="shared" si="117"/>
        <v>94139.413083933745</v>
      </c>
      <c r="CP147" s="140">
        <f t="shared" si="187"/>
        <v>0.42</v>
      </c>
      <c r="CQ147" s="121" t="str">
        <f>IF($C$50="NEIN","NEIN",IF(CS147&lt;CR147,"JA","NEIN"))</f>
        <v>NEIN</v>
      </c>
      <c r="CR147" s="121">
        <f>CO147*$C$46</f>
        <v>24829.270200887524</v>
      </c>
      <c r="CS147" s="121">
        <f t="shared" si="188"/>
        <v>30271.023495252171</v>
      </c>
      <c r="CT147" s="201">
        <f>IF($C$50="NEIN",CR147,IF(CQ147="NEIN",CR147,CS147))</f>
        <v>24829.270200887524</v>
      </c>
      <c r="CU147" s="149"/>
      <c r="CV147" s="202">
        <f t="shared" si="244"/>
        <v>9984</v>
      </c>
      <c r="CW147" s="134">
        <f>CV147*$C$57</f>
        <v>0</v>
      </c>
      <c r="CX147" s="142">
        <f t="shared" si="245"/>
        <v>14926</v>
      </c>
      <c r="CY147" s="134">
        <f>CX147*$C$57</f>
        <v>0</v>
      </c>
      <c r="CZ147" s="142">
        <f t="shared" si="246"/>
        <v>58596</v>
      </c>
      <c r="DA147" s="143">
        <f>CZ147*$C$57</f>
        <v>0</v>
      </c>
      <c r="DB147" s="165">
        <f t="shared" si="120"/>
        <v>94139.413083933745</v>
      </c>
      <c r="DC147" s="140">
        <f t="shared" si="189"/>
        <v>0.42</v>
      </c>
      <c r="DD147" s="121" t="str">
        <f>IF($C$50="NEIN","NEIN",IF(DF147&lt;DE147,"JA","NEIN"))</f>
        <v>NEIN</v>
      </c>
      <c r="DE147" s="121">
        <f>DB147*$C$46</f>
        <v>24829.270200887524</v>
      </c>
      <c r="DF147" s="121">
        <f t="shared" si="190"/>
        <v>30271.023495252171</v>
      </c>
      <c r="DG147" s="201">
        <f>IF($C$50="NEIN",DE147,IF(DD147="NEIN",DE147,DF147))</f>
        <v>24829.270200887524</v>
      </c>
      <c r="DH147" s="159"/>
      <c r="DI147" s="74"/>
      <c r="DJ147" s="74"/>
      <c r="DK147" s="128"/>
      <c r="DL147" s="128"/>
      <c r="DM147" s="128"/>
      <c r="DN147" s="74"/>
      <c r="DO147" s="28">
        <f t="shared" si="247"/>
        <v>2088</v>
      </c>
      <c r="DP147" s="17">
        <f>IF($C$13+$C$10&gt;=DO147,-AG147,IF(DO147=$C$13+$C$10+1,$EK$93,0))</f>
        <v>0</v>
      </c>
      <c r="DQ147" s="17">
        <f t="shared" si="248"/>
        <v>5538164.7013353128</v>
      </c>
      <c r="DR147" s="17">
        <f t="shared" si="249"/>
        <v>19401114.71560476</v>
      </c>
      <c r="DS147" s="17">
        <f t="shared" si="223"/>
        <v>323051.75173441286</v>
      </c>
      <c r="DT147" s="17">
        <f t="shared" si="191"/>
        <v>21104858.120052915</v>
      </c>
      <c r="DU147" s="17">
        <f t="shared" si="250"/>
        <v>1380691.6527137421</v>
      </c>
      <c r="DV147" s="33">
        <f t="shared" si="192"/>
        <v>9664.841568996193</v>
      </c>
      <c r="DW147" s="32">
        <f t="shared" si="193"/>
        <v>422097.1624010583</v>
      </c>
      <c r="DX147" s="17">
        <f t="shared" si="251"/>
        <v>0</v>
      </c>
      <c r="DY147" s="17">
        <f t="shared" si="252"/>
        <v>0</v>
      </c>
      <c r="DZ147" s="17">
        <f t="shared" si="194"/>
        <v>0</v>
      </c>
      <c r="EA147" s="17">
        <f t="shared" si="224"/>
        <v>77718.424858295373</v>
      </c>
      <c r="EB147" s="15">
        <f t="shared" si="225"/>
        <v>344378.73754276294</v>
      </c>
      <c r="EC147" s="15">
        <f>IF(DP147=0,EC146,IF(DO147&lt;=$EK$88+$C$10,ABS(DP147)+EC146,EC146))</f>
        <v>430891.77838569693</v>
      </c>
      <c r="ED147" s="15">
        <f t="shared" si="253"/>
        <v>1216956.5675976146</v>
      </c>
      <c r="EE147" s="16">
        <f t="shared" si="254"/>
        <v>21104858.120052915</v>
      </c>
      <c r="EF147" s="15">
        <f t="shared" si="195"/>
        <v>323051.75173441286</v>
      </c>
      <c r="EG147" s="15">
        <f t="shared" si="255"/>
        <v>5107272.922949614</v>
      </c>
      <c r="EH147" s="16"/>
      <c r="EI147" s="16"/>
      <c r="EJ147"/>
      <c r="EK147"/>
      <c r="EL147"/>
      <c r="EM147" s="28">
        <f t="shared" si="256"/>
        <v>2088</v>
      </c>
      <c r="EN147" s="29">
        <f>IF($C$13+$C$10&gt;=EM147,-(AG147),IF(EM147=$C$13+$C$10+1,$FB$93,0))</f>
        <v>0</v>
      </c>
      <c r="EO147" s="30">
        <f t="shared" si="257"/>
        <v>411609.76829206262</v>
      </c>
      <c r="EP147" s="30">
        <f t="shared" si="258"/>
        <v>24360361.881462879</v>
      </c>
      <c r="EQ147" s="30">
        <f t="shared" si="226"/>
        <v>-2059.6173720176548</v>
      </c>
      <c r="ER147" s="25">
        <f t="shared" si="196"/>
        <v>26063383.422577225</v>
      </c>
      <c r="ES147" s="30">
        <f t="shared" si="259"/>
        <v>1705081.1584863625</v>
      </c>
      <c r="ET147" s="26">
        <f t="shared" si="197"/>
        <v>11935.568109404523</v>
      </c>
      <c r="EU147" s="30">
        <f t="shared" si="260"/>
        <v>11935.568109404523</v>
      </c>
      <c r="EV147" s="25">
        <f t="shared" si="198"/>
        <v>2203.6042621988095</v>
      </c>
      <c r="EW147" s="31">
        <f t="shared" si="261"/>
        <v>179562.41557999593</v>
      </c>
      <c r="EX147" s="27">
        <f>IF(EM147=0,EX146,IF(EM147&lt;=$FB$88+$C$10,ABS(EN147)+EX146,EX146))</f>
        <v>430891.77838569693</v>
      </c>
      <c r="EY147" s="15"/>
      <c r="EZ147"/>
      <c r="FA147"/>
      <c r="FB147"/>
      <c r="FC147" s="74"/>
      <c r="FD147" s="74"/>
      <c r="FE147" s="74"/>
      <c r="FF147" s="74"/>
      <c r="FG147" s="74"/>
      <c r="FH147" s="74"/>
      <c r="FI147" s="74"/>
      <c r="FJ147" s="28">
        <f t="shared" si="262"/>
        <v>2088</v>
      </c>
      <c r="FK147" s="65">
        <f>IF($C$13+$C$10&gt;=FJ147,-AG147,IF(FJ147=$C$13+$C$10+1,$EK$93,0))</f>
        <v>0</v>
      </c>
      <c r="FL147" s="65">
        <f t="shared" si="263"/>
        <v>74118.803999999975</v>
      </c>
      <c r="FM147" s="65">
        <f t="shared" si="264"/>
        <v>1698667.7303954428</v>
      </c>
      <c r="FN147" s="65">
        <f t="shared" si="227"/>
        <v>0</v>
      </c>
      <c r="FO147" s="65">
        <f t="shared" si="199"/>
        <v>1817574.4715231238</v>
      </c>
      <c r="FP147" s="65">
        <f t="shared" si="265"/>
        <v>118906.74112768099</v>
      </c>
      <c r="FQ147" s="59">
        <f t="shared" si="200"/>
        <v>832.34718789376689</v>
      </c>
      <c r="FR147" s="60">
        <f t="shared" si="201"/>
        <v>36351.489430462476</v>
      </c>
      <c r="FS147" s="65">
        <f t="shared" si="266"/>
        <v>0</v>
      </c>
      <c r="FT147" s="65">
        <f t="shared" si="267"/>
        <v>0</v>
      </c>
      <c r="FU147" s="65">
        <f t="shared" si="202"/>
        <v>0</v>
      </c>
      <c r="FV147" s="65">
        <f t="shared" si="228"/>
        <v>6500.129986099133</v>
      </c>
      <c r="FW147" s="61">
        <f t="shared" si="229"/>
        <v>29851.359444363341</v>
      </c>
      <c r="FX147" s="61">
        <f>IF(AND(FJ147&lt;=$GF$88+$C$10,FV146&lt;=0,FN147&gt;0),(FJ147-$C$10+1)*AG147+$GF$80,FX146)</f>
        <v>73074.599999999977</v>
      </c>
      <c r="FY147" s="62">
        <f t="shared" si="230"/>
        <v>30.767843447345481</v>
      </c>
      <c r="FZ147" s="63">
        <f t="shared" si="268"/>
        <v>1817574.4715231238</v>
      </c>
      <c r="GA147" s="64">
        <f t="shared" si="269"/>
        <v>34666.688375417201</v>
      </c>
      <c r="GB147" s="64">
        <f t="shared" si="270"/>
        <v>715336.35853626439</v>
      </c>
      <c r="GC147" s="66">
        <f t="shared" si="203"/>
        <v>0</v>
      </c>
      <c r="GD147" s="64">
        <f t="shared" si="271"/>
        <v>1580.6039999999994</v>
      </c>
      <c r="GE147"/>
      <c r="GF147"/>
      <c r="GG147" s="74"/>
      <c r="GH147" s="74"/>
      <c r="GI147" s="28">
        <f t="shared" si="272"/>
        <v>2088</v>
      </c>
      <c r="GJ147" s="9">
        <f>IF($GX$88+$C$10&gt;=GI147,-AG147,IF(GI147=$GX$88+$C$10+1,$FB$93,0))</f>
        <v>0</v>
      </c>
      <c r="GK147" s="5">
        <f t="shared" si="273"/>
        <v>926861.17707714729</v>
      </c>
      <c r="GL147" s="5">
        <f t="shared" si="274"/>
        <v>21949194.471749261</v>
      </c>
      <c r="GM147" s="35">
        <f t="shared" si="231"/>
        <v>26621.856546367591</v>
      </c>
      <c r="GN147" s="4">
        <f t="shared" si="204"/>
        <v>23514123.471276324</v>
      </c>
      <c r="GO147" s="5">
        <f t="shared" si="275"/>
        <v>1538307.1429806948</v>
      </c>
      <c r="GP147" s="5">
        <f t="shared" si="205"/>
        <v>10768.150000864856</v>
      </c>
      <c r="GQ147" s="5">
        <f t="shared" si="276"/>
        <v>10768.150000864856</v>
      </c>
      <c r="GR147" s="4">
        <f t="shared" si="206"/>
        <v>1988.0696939096738</v>
      </c>
      <c r="GS147" s="7">
        <f t="shared" si="277"/>
        <v>158110.83605939409</v>
      </c>
      <c r="GT147" s="107" t="e">
        <f>IF($DG$62=0,EX147,IF(GI147-$C$10+1&lt;=$GF$98,0,#REF!-FX147))</f>
        <v>#REF!</v>
      </c>
      <c r="GU147"/>
      <c r="GV147"/>
      <c r="GW147"/>
      <c r="GX147"/>
      <c r="GY147" s="74"/>
      <c r="GZ147" s="74"/>
      <c r="HA147" s="74"/>
      <c r="HB147" s="74"/>
      <c r="HC147" s="74"/>
      <c r="HD147" s="74"/>
    </row>
    <row r="148" spans="2:212" ht="16.149999999999999" thickBot="1" x14ac:dyDescent="0.55000000000000004">
      <c r="B148" s="333"/>
      <c r="C148" s="75"/>
      <c r="D148" s="75"/>
      <c r="F148" s="75"/>
      <c r="G148" s="75"/>
      <c r="H148" s="75"/>
      <c r="I148" s="75"/>
      <c r="J148" s="75"/>
      <c r="K148" s="75"/>
      <c r="L148" s="75"/>
      <c r="M148" s="75"/>
      <c r="O148" s="75"/>
      <c r="P148" s="75"/>
      <c r="Q148" s="75"/>
      <c r="R148" s="75"/>
      <c r="S148" s="290"/>
      <c r="T148" s="291"/>
      <c r="U148" s="291"/>
      <c r="V148" s="292"/>
      <c r="W148" s="292"/>
      <c r="AB148" s="117" t="str">
        <f t="shared" si="207"/>
        <v/>
      </c>
      <c r="AC148" s="117" t="str">
        <f t="shared" si="208"/>
        <v/>
      </c>
      <c r="AD148" s="299">
        <f>IF($C$20="NEIN",$C$21,IF($C$22="JA",'HISTORISCHE RENDITEN'!E72,'HISTORISCHE RENDITEN'!D72))</f>
        <v>3.3599999999999998E-2</v>
      </c>
      <c r="AE148" s="129">
        <f t="shared" si="174"/>
        <v>96</v>
      </c>
      <c r="AF148" s="120">
        <f t="shared" si="209"/>
        <v>2089</v>
      </c>
      <c r="AG148" s="122">
        <f t="shared" si="175"/>
        <v>0</v>
      </c>
      <c r="AH148" s="124">
        <f t="shared" si="210"/>
        <v>430891.77838569693</v>
      </c>
      <c r="AI148" s="296">
        <f t="shared" si="232"/>
        <v>438084.00956628489</v>
      </c>
      <c r="AJ148" s="123">
        <f t="shared" si="233"/>
        <v>0</v>
      </c>
      <c r="AK148" s="124">
        <f t="shared" si="211"/>
        <v>452803.63228771207</v>
      </c>
      <c r="AL148" s="122">
        <f t="shared" si="176"/>
        <v>14719.622721427178</v>
      </c>
      <c r="AM148" s="122">
        <f>IF($C$25="Ausschütter",0,IF(AL148&gt;=0,(AI148+AJ148)*$C$48*0.7))</f>
        <v>214.66116468747958</v>
      </c>
      <c r="AN148" s="122">
        <f t="shared" si="177"/>
        <v>0</v>
      </c>
      <c r="AO148" s="122">
        <f t="shared" si="212"/>
        <v>214.66116468747958</v>
      </c>
      <c r="AP148" s="122">
        <f t="shared" si="234"/>
        <v>22774.423199447116</v>
      </c>
      <c r="AQ148" s="122">
        <f>IF($C$25="AUSSCHÜTTER",0,IF(AO148*$C$46*$C$49&lt;=$C$47,0,AO148*$C$46*$C$49))</f>
        <v>0</v>
      </c>
      <c r="AR148" s="122">
        <f>IF(AO147*$C$49&gt;$C$47,(AN148)*$C$49*$C$46,IF((AO147+AN148)*$C$49&gt;$C$47,((AO147+AN148)*$C$49-$C$47)*$C$46,0))</f>
        <v>0</v>
      </c>
      <c r="AS148" s="122">
        <f t="shared" si="235"/>
        <v>0</v>
      </c>
      <c r="AT148" s="122">
        <f t="shared" si="213"/>
        <v>430891.77838569693</v>
      </c>
      <c r="AU148" s="122">
        <f t="shared" si="236"/>
        <v>0</v>
      </c>
      <c r="AV148" s="122">
        <f t="shared" si="237"/>
        <v>452803.63228771207</v>
      </c>
      <c r="AW148" s="122">
        <f t="shared" si="214"/>
        <v>0</v>
      </c>
      <c r="AX148" s="130">
        <f t="shared" si="215"/>
        <v>0</v>
      </c>
      <c r="AY148" s="82">
        <f>IF(AF148&lt;$C$11,$C$15*(1+$C$19)^(AF148-$C$10),0)</f>
        <v>0</v>
      </c>
      <c r="AZ148" s="82">
        <f>$C$14*(1+$C$37)^(AF148-$C$10)</f>
        <v>96492.898411032089</v>
      </c>
      <c r="BA148" s="165">
        <f>IF(AF148&lt;$C$11,0,MAX($C$38*AI148,AZ148))</f>
        <v>96492.898411032089</v>
      </c>
      <c r="BB148" s="82">
        <f>IF(AF148&lt;$C$11,0,MAX($C$38*AI148,AZ148))</f>
        <v>96492.898411032089</v>
      </c>
      <c r="BC148" s="136">
        <f>IF($C$39="JA",CT148,DG148)</f>
        <v>25450.001955909713</v>
      </c>
      <c r="BD148" s="82">
        <f t="shared" si="178"/>
        <v>0</v>
      </c>
      <c r="BE148" s="82">
        <f>IF(AF148&lt;($C$8+$C$30),0,$C$29*12*(1-$C$31))</f>
        <v>0</v>
      </c>
      <c r="BF148" s="82">
        <f>IF(AF148&lt;($C$8+$C$34),0,$C$33*12*(1-$C$35))</f>
        <v>0</v>
      </c>
      <c r="BG148" s="82">
        <f>IF(AF148&lt;$C$11,0,IF(AI148&lt;0,$C$42*(1+$C$44)^(AF148-$C$10),IF(((AL148+BE148+BF148)*$C$41)&lt;$C$42*(1+$C$44)^(AF148-$C$10),$C$42*(1+$C$44)^(AF148-$C$10),IF(((AL148+BE148+BF148)*$C$41)&lt;$C$43*(1+$C$44)^(AF148-$C$10),(AL148+BE148+BF148)*$C$41,IF(((AL148+BE148+BF148+BB148)*$C$41)&lt;$C$43*(1+$C$44)^(AF148-$C$10),((AL148+BE148+BF148+BB148)*$C$41),$C$43*(1+$C$44)^(AF148-$C$10))))))</f>
        <v>6605.4455153700437</v>
      </c>
      <c r="BH148" s="82">
        <f t="shared" si="238"/>
        <v>128548.34588231184</v>
      </c>
      <c r="BI148" s="242">
        <f t="shared" si="216"/>
        <v>452803.63228771207</v>
      </c>
      <c r="BJ148" s="217">
        <f t="shared" si="217"/>
        <v>324255.28640540026</v>
      </c>
      <c r="BK148" s="118"/>
      <c r="BL148" s="219">
        <f t="shared" si="179"/>
        <v>52</v>
      </c>
      <c r="BM148" s="220">
        <f t="shared" si="180"/>
        <v>69</v>
      </c>
      <c r="BN148" s="220">
        <f t="shared" si="173"/>
        <v>0</v>
      </c>
      <c r="BO148" s="221">
        <f t="shared" si="181"/>
        <v>0</v>
      </c>
      <c r="BP148" s="221">
        <f t="shared" si="182"/>
        <v>0</v>
      </c>
      <c r="BQ148" s="222">
        <f t="shared" si="183"/>
        <v>0</v>
      </c>
      <c r="BR148" s="223">
        <f>IF(BM148&lt;$C$11-$C$10+1,0,IF(BL148&lt;=$C$13,VLOOKUP(BL148,$BN$80:$BQ$156,2,FALSE)-BS148,0))</f>
        <v>0</v>
      </c>
      <c r="BS148" s="223">
        <f>IF(BM148&lt;$C$11-$C$10+1,0,IF(BL148&lt;=$C$13,VLOOKUP(BL148,$BN$80:$BQ$156,3,FALSE),0))</f>
        <v>0</v>
      </c>
      <c r="BT148" s="222">
        <f>IF(BM148&lt;$C$11-$C$10+1,0,IF(BL148&lt;=$C$13,VLOOKUP(BL148,$BN$80:$BQ$156,4,FALSE),0))</f>
        <v>0</v>
      </c>
      <c r="BU148" s="223">
        <f t="shared" si="218"/>
        <v>0</v>
      </c>
      <c r="BV148" s="223">
        <f t="shared" si="219"/>
        <v>0</v>
      </c>
      <c r="BW148" s="223">
        <f t="shared" si="118"/>
        <v>0</v>
      </c>
      <c r="BX148" s="223">
        <f>IF(AND(BS148&lt;=0,BN148=0),MIN((MAX($BZ$80:$BZ$156)-SUM($BX$80:BX147)),CA148),IF(BS148&lt;CA148,BS148,CA148))</f>
        <v>0</v>
      </c>
      <c r="BY148" s="222">
        <f>IF(BN148&gt;0,0,IF(AND(BN148=0,BT148&lt;=0),100%,((BW147*(AVERAGE($BT$80:BT147))+(BR148*BT148))/(BR148+BW147+BS148+BV147))))</f>
        <v>1</v>
      </c>
      <c r="BZ148" s="139">
        <f t="shared" si="220"/>
        <v>430891.77838569693</v>
      </c>
      <c r="CA148" s="122">
        <f t="shared" si="184"/>
        <v>96492.898411032089</v>
      </c>
      <c r="CB148" s="181">
        <f t="shared" si="221"/>
        <v>1</v>
      </c>
      <c r="CC148" s="122">
        <f t="shared" si="222"/>
        <v>3048451.3842749484</v>
      </c>
      <c r="CD148" s="182">
        <f t="shared" si="119"/>
        <v>0</v>
      </c>
      <c r="CE148" s="122">
        <f t="shared" si="239"/>
        <v>430891.77838569693</v>
      </c>
      <c r="CF148" s="122">
        <f t="shared" si="240"/>
        <v>0</v>
      </c>
      <c r="CG148" s="122" t="str">
        <f t="shared" si="185"/>
        <v/>
      </c>
      <c r="CH148" s="140">
        <f t="shared" si="186"/>
        <v>1</v>
      </c>
      <c r="CI148" s="142">
        <f t="shared" si="241"/>
        <v>9984</v>
      </c>
      <c r="CJ148" s="134">
        <f>CI148*$C$57</f>
        <v>0</v>
      </c>
      <c r="CK148" s="142">
        <f t="shared" si="242"/>
        <v>14926</v>
      </c>
      <c r="CL148" s="134">
        <f>CK148*$C$57</f>
        <v>0</v>
      </c>
      <c r="CM148" s="142">
        <f t="shared" si="243"/>
        <v>58596</v>
      </c>
      <c r="CN148" s="134">
        <f>CM148*$C$57</f>
        <v>0</v>
      </c>
      <c r="CO148" s="132">
        <f t="shared" si="117"/>
        <v>96492.898411032089</v>
      </c>
      <c r="CP148" s="140">
        <f t="shared" si="187"/>
        <v>0.42</v>
      </c>
      <c r="CQ148" s="121" t="str">
        <f>IF($C$50="NEIN","NEIN",IF(CS148&lt;CR148,"JA","NEIN"))</f>
        <v>NEIN</v>
      </c>
      <c r="CR148" s="121">
        <f>CO148*$C$46</f>
        <v>25450.001955909713</v>
      </c>
      <c r="CS148" s="121">
        <f t="shared" si="188"/>
        <v>31259.487332633478</v>
      </c>
      <c r="CT148" s="201">
        <f>IF($C$50="NEIN",CR148,IF(CQ148="NEIN",CR148,CS148))</f>
        <v>25450.001955909713</v>
      </c>
      <c r="CU148" s="149"/>
      <c r="CV148" s="202">
        <f t="shared" si="244"/>
        <v>9984</v>
      </c>
      <c r="CW148" s="134">
        <f>CV148*$C$57</f>
        <v>0</v>
      </c>
      <c r="CX148" s="142">
        <f t="shared" si="245"/>
        <v>14926</v>
      </c>
      <c r="CY148" s="134">
        <f>CX148*$C$57</f>
        <v>0</v>
      </c>
      <c r="CZ148" s="142">
        <f t="shared" si="246"/>
        <v>58596</v>
      </c>
      <c r="DA148" s="143">
        <f>CZ148*$C$57</f>
        <v>0</v>
      </c>
      <c r="DB148" s="165">
        <f t="shared" si="120"/>
        <v>96492.898411032089</v>
      </c>
      <c r="DC148" s="140">
        <f t="shared" si="189"/>
        <v>0.42</v>
      </c>
      <c r="DD148" s="121" t="str">
        <f>IF($C$50="NEIN","NEIN",IF(DF148&lt;DE148,"JA","NEIN"))</f>
        <v>NEIN</v>
      </c>
      <c r="DE148" s="121">
        <f>DB148*$C$46</f>
        <v>25450.001955909713</v>
      </c>
      <c r="DF148" s="121">
        <f t="shared" si="190"/>
        <v>31259.487332633478</v>
      </c>
      <c r="DG148" s="201">
        <f>IF($C$50="NEIN",DE148,IF(DD148="NEIN",DE148,DF148))</f>
        <v>25450.001955909713</v>
      </c>
      <c r="DH148" s="159"/>
      <c r="DI148" s="74"/>
      <c r="DJ148" s="74"/>
      <c r="DK148" s="128"/>
      <c r="DL148" s="128"/>
      <c r="DM148" s="128"/>
      <c r="DN148" s="74"/>
      <c r="DO148" s="28">
        <f t="shared" si="247"/>
        <v>2089</v>
      </c>
      <c r="DP148" s="17">
        <f>IF($C$13+$C$10&gt;=DO148,-AG148,IF(DO148=$C$13+$C$10+1,$EK$93,0))</f>
        <v>0</v>
      </c>
      <c r="DQ148" s="17">
        <f t="shared" si="248"/>
        <v>5882543.4388780762</v>
      </c>
      <c r="DR148" s="17">
        <f t="shared" si="249"/>
        <v>20682760.957651857</v>
      </c>
      <c r="DS148" s="17">
        <f t="shared" si="223"/>
        <v>344378.73754276294</v>
      </c>
      <c r="DT148" s="17">
        <f t="shared" si="191"/>
        <v>22499039.473858245</v>
      </c>
      <c r="DU148" s="17">
        <f t="shared" si="250"/>
        <v>1471899.7786636241</v>
      </c>
      <c r="DV148" s="33">
        <f t="shared" si="192"/>
        <v>10303.298450645363</v>
      </c>
      <c r="DW148" s="32">
        <f t="shared" si="193"/>
        <v>449980.78947716492</v>
      </c>
      <c r="DX148" s="17">
        <f t="shared" si="251"/>
        <v>0</v>
      </c>
      <c r="DY148" s="17">
        <f t="shared" si="252"/>
        <v>0</v>
      </c>
      <c r="DZ148" s="17">
        <f t="shared" si="194"/>
        <v>0</v>
      </c>
      <c r="EA148" s="17">
        <f t="shared" si="224"/>
        <v>82866.43950722157</v>
      </c>
      <c r="EB148" s="15">
        <f t="shared" si="225"/>
        <v>367114.34996994335</v>
      </c>
      <c r="EC148" s="15">
        <f>IF(DP148=0,EC147,IF(DO148&lt;=$EK$88+$C$10,ABS(DP148)+EC147,EC147))</f>
        <v>430891.77838569693</v>
      </c>
      <c r="ED148" s="15">
        <f t="shared" si="253"/>
        <v>1299823.0071048362</v>
      </c>
      <c r="EE148" s="16">
        <f t="shared" si="254"/>
        <v>22499039.473858245</v>
      </c>
      <c r="EF148" s="15">
        <f t="shared" si="195"/>
        <v>344378.73754276294</v>
      </c>
      <c r="EG148" s="15">
        <f t="shared" si="255"/>
        <v>5451651.6604923774</v>
      </c>
      <c r="EH148" s="16"/>
      <c r="EI148" s="16"/>
      <c r="EJ148"/>
      <c r="EK148"/>
      <c r="EL148"/>
      <c r="EM148" s="28">
        <f t="shared" si="256"/>
        <v>2089</v>
      </c>
      <c r="EN148" s="29">
        <f>IF($C$13+$C$10&gt;=EM148,-(AG148),IF(EM148=$C$13+$C$10+1,$FB$93,0))</f>
        <v>0</v>
      </c>
      <c r="EO148" s="30">
        <f t="shared" si="257"/>
        <v>409406.16402986384</v>
      </c>
      <c r="EP148" s="30">
        <f t="shared" si="258"/>
        <v>26063383.422577225</v>
      </c>
      <c r="EQ148" s="30">
        <f t="shared" si="226"/>
        <v>-2203.6042621988095</v>
      </c>
      <c r="ER148" s="25">
        <f t="shared" si="196"/>
        <v>27885462.40559708</v>
      </c>
      <c r="ES148" s="30">
        <f t="shared" si="259"/>
        <v>1824282.5872820541</v>
      </c>
      <c r="ET148" s="26">
        <f t="shared" si="197"/>
        <v>12769.978110974362</v>
      </c>
      <c r="EU148" s="30">
        <f t="shared" si="260"/>
        <v>12769.978110974362</v>
      </c>
      <c r="EV148" s="25">
        <f t="shared" si="198"/>
        <v>2357.6572087386412</v>
      </c>
      <c r="EW148" s="31">
        <f t="shared" si="261"/>
        <v>192332.39369097029</v>
      </c>
      <c r="EX148" s="27">
        <f>IF(EM148=0,EX147,IF(EM148&lt;=$FB$88+$C$10,ABS(EN148)+EX147,EX147))</f>
        <v>430891.77838569693</v>
      </c>
      <c r="EY148" s="15"/>
      <c r="EZ148"/>
      <c r="FA148"/>
      <c r="FB148"/>
      <c r="FC148" s="74"/>
      <c r="FD148" s="74"/>
      <c r="FE148" s="74"/>
      <c r="FF148" s="74"/>
      <c r="FG148" s="74"/>
      <c r="FH148" s="74"/>
      <c r="FI148" s="74"/>
      <c r="FJ148" s="28">
        <f t="shared" si="262"/>
        <v>2089</v>
      </c>
      <c r="FK148" s="65">
        <f>IF($C$13+$C$10&gt;=FJ148,-AG148,IF(FJ148=$C$13+$C$10+1,$EK$93,0))</f>
        <v>0</v>
      </c>
      <c r="FL148" s="65">
        <f t="shared" si="263"/>
        <v>74118.803999999975</v>
      </c>
      <c r="FM148" s="65">
        <f t="shared" si="264"/>
        <v>1781222.9820926613</v>
      </c>
      <c r="FN148" s="65">
        <f t="shared" si="227"/>
        <v>0</v>
      </c>
      <c r="FO148" s="65">
        <f t="shared" si="199"/>
        <v>1905908.5908391478</v>
      </c>
      <c r="FP148" s="65">
        <f t="shared" si="265"/>
        <v>124685.60874648648</v>
      </c>
      <c r="FQ148" s="59">
        <f t="shared" si="200"/>
        <v>872.79926122540394</v>
      </c>
      <c r="FR148" s="60">
        <f t="shared" si="201"/>
        <v>38118.17181678296</v>
      </c>
      <c r="FS148" s="65">
        <f t="shared" si="266"/>
        <v>0</v>
      </c>
      <c r="FT148" s="65">
        <f t="shared" si="267"/>
        <v>0</v>
      </c>
      <c r="FU148" s="65">
        <f t="shared" si="202"/>
        <v>0</v>
      </c>
      <c r="FV148" s="65">
        <f t="shared" si="228"/>
        <v>6826.3037216735538</v>
      </c>
      <c r="FW148" s="61">
        <f t="shared" si="229"/>
        <v>31291.868095109407</v>
      </c>
      <c r="FX148" s="61">
        <f>IF(AND(FJ148&lt;=$GF$88+$C$10,FV147&lt;=0,FN148&gt;0),(FJ148-$C$10+1)*AG148+$GF$80,FX147)</f>
        <v>73074.599999999977</v>
      </c>
      <c r="FY148" s="62">
        <f t="shared" si="230"/>
        <v>32.311760638886483</v>
      </c>
      <c r="FZ148" s="63">
        <f t="shared" si="268"/>
        <v>1905908.5908391478</v>
      </c>
      <c r="GA148" s="64">
        <f t="shared" si="269"/>
        <v>36351.489430462476</v>
      </c>
      <c r="GB148" s="64">
        <f t="shared" si="270"/>
        <v>751687.84796672687</v>
      </c>
      <c r="GC148" s="66">
        <f t="shared" si="203"/>
        <v>0</v>
      </c>
      <c r="GD148" s="64">
        <f t="shared" si="271"/>
        <v>1580.6039999999994</v>
      </c>
      <c r="GE148"/>
      <c r="GF148"/>
      <c r="GG148" s="74"/>
      <c r="GH148" s="74"/>
      <c r="GI148" s="28">
        <f t="shared" si="272"/>
        <v>2089</v>
      </c>
      <c r="GJ148" s="9">
        <f>IF($GX$88+$C$10&gt;=GI148,-AG148,IF(GI148=$GX$88+$C$10+1,$FB$93,0))</f>
        <v>0</v>
      </c>
      <c r="GK148" s="5">
        <f t="shared" si="273"/>
        <v>954724.46682760096</v>
      </c>
      <c r="GL148" s="5">
        <f t="shared" si="274"/>
        <v>23514123.471276324</v>
      </c>
      <c r="GM148" s="35">
        <f t="shared" si="231"/>
        <v>27863.289750453667</v>
      </c>
      <c r="GN148" s="4">
        <f t="shared" si="204"/>
        <v>25189925.834298652</v>
      </c>
      <c r="GO148" s="5">
        <f t="shared" si="275"/>
        <v>1647939.0732718743</v>
      </c>
      <c r="GP148" s="5">
        <f t="shared" si="205"/>
        <v>11535.57351290312</v>
      </c>
      <c r="GQ148" s="5">
        <f t="shared" si="276"/>
        <v>11535.57351290312</v>
      </c>
      <c r="GR148" s="4">
        <f t="shared" si="206"/>
        <v>2129.7552598197381</v>
      </c>
      <c r="GS148" s="7">
        <f t="shared" si="277"/>
        <v>169646.40957229721</v>
      </c>
      <c r="GT148" s="107" t="e">
        <f>IF($DG$62=0,EX148,IF(GI148-$C$10+1&lt;=$GF$98,0,#REF!-FX148))</f>
        <v>#REF!</v>
      </c>
      <c r="GU148"/>
      <c r="GV148"/>
      <c r="GW148"/>
      <c r="GX148"/>
      <c r="GY148" s="74"/>
      <c r="GZ148" s="74"/>
      <c r="HA148" s="74"/>
      <c r="HB148" s="74"/>
      <c r="HC148" s="74"/>
      <c r="HD148" s="74"/>
    </row>
    <row r="149" spans="2:212" ht="16.149999999999999" thickBot="1" x14ac:dyDescent="0.55000000000000004">
      <c r="B149" s="333"/>
      <c r="C149" s="75"/>
      <c r="D149" s="75"/>
      <c r="F149" s="75"/>
      <c r="G149" s="75"/>
      <c r="H149" s="75"/>
      <c r="I149" s="75"/>
      <c r="J149" s="75"/>
      <c r="K149" s="75"/>
      <c r="L149" s="75"/>
      <c r="M149" s="75"/>
      <c r="O149" s="75"/>
      <c r="P149" s="75"/>
      <c r="Q149" s="75"/>
      <c r="R149" s="75"/>
      <c r="S149" s="290"/>
      <c r="T149" s="291"/>
      <c r="U149" s="291"/>
      <c r="V149" s="292"/>
      <c r="W149" s="292"/>
      <c r="AB149" s="117" t="str">
        <f t="shared" si="207"/>
        <v/>
      </c>
      <c r="AC149" s="117" t="str">
        <f t="shared" si="208"/>
        <v/>
      </c>
      <c r="AD149" s="299">
        <f>IF($C$20="NEIN",$C$21,IF($C$22="JA",'HISTORISCHE RENDITEN'!E73,'HISTORISCHE RENDITEN'!D73))</f>
        <v>0.187</v>
      </c>
      <c r="AE149" s="129">
        <f t="shared" si="174"/>
        <v>97</v>
      </c>
      <c r="AF149" s="120">
        <f t="shared" si="209"/>
        <v>2090</v>
      </c>
      <c r="AG149" s="122">
        <f t="shared" si="175"/>
        <v>0</v>
      </c>
      <c r="AH149" s="124">
        <f t="shared" si="210"/>
        <v>430891.77838569693</v>
      </c>
      <c r="AI149" s="296">
        <f t="shared" si="232"/>
        <v>324255.28640540026</v>
      </c>
      <c r="AJ149" s="123">
        <f t="shared" si="233"/>
        <v>0</v>
      </c>
      <c r="AK149" s="124">
        <f t="shared" si="211"/>
        <v>384891.0249632101</v>
      </c>
      <c r="AL149" s="122">
        <f t="shared" si="176"/>
        <v>60635.738557809847</v>
      </c>
      <c r="AM149" s="122">
        <f>IF($C$25="Ausschütter",0,IF(AL149&gt;=0,(AI149+AJ149)*$C$48*0.7))</f>
        <v>158.88509033864611</v>
      </c>
      <c r="AN149" s="122">
        <f t="shared" si="177"/>
        <v>0</v>
      </c>
      <c r="AO149" s="122">
        <f t="shared" si="212"/>
        <v>158.88509033864611</v>
      </c>
      <c r="AP149" s="122">
        <f t="shared" si="234"/>
        <v>22933.30828978576</v>
      </c>
      <c r="AQ149" s="122">
        <f>IF($C$25="AUSSCHÜTTER",0,IF(AO149*$C$46*$C$49&lt;=$C$47,0,AO149*$C$46*$C$49))</f>
        <v>0</v>
      </c>
      <c r="AR149" s="122">
        <f>IF(AO148*$C$49&gt;$C$47,(AN149)*$C$49*$C$46,IF((AO148+AN149)*$C$49&gt;$C$47,((AO148+AN149)*$C$49-$C$47)*$C$46,0))</f>
        <v>0</v>
      </c>
      <c r="AS149" s="122">
        <f t="shared" si="235"/>
        <v>0</v>
      </c>
      <c r="AT149" s="122">
        <f t="shared" si="213"/>
        <v>430891.77838569693</v>
      </c>
      <c r="AU149" s="122">
        <f t="shared" si="236"/>
        <v>0</v>
      </c>
      <c r="AV149" s="122">
        <f t="shared" si="237"/>
        <v>384891.0249632101</v>
      </c>
      <c r="AW149" s="122">
        <f t="shared" si="214"/>
        <v>0</v>
      </c>
      <c r="AX149" s="130">
        <f t="shared" si="215"/>
        <v>0</v>
      </c>
      <c r="AY149" s="82">
        <f>IF(AF149&lt;$C$11,$C$15*(1+$C$19)^(AF149-$C$10),0)</f>
        <v>0</v>
      </c>
      <c r="AZ149" s="82">
        <f>$C$14*(1+$C$37)^(AF149-$C$10)</f>
        <v>98905.220871307873</v>
      </c>
      <c r="BA149" s="165">
        <f>IF(AF149&lt;$C$11,0,MAX($C$38*AI149,AZ149))</f>
        <v>98905.220871307873</v>
      </c>
      <c r="BB149" s="82">
        <f>IF(AF149&lt;$C$11,0,MAX($C$38*AI149,AZ149))</f>
        <v>98905.220871307873</v>
      </c>
      <c r="BC149" s="136">
        <f>IF($C$39="JA",CT149,DG149)</f>
        <v>26086.252004807451</v>
      </c>
      <c r="BD149" s="82">
        <f t="shared" si="178"/>
        <v>0</v>
      </c>
      <c r="BE149" s="82">
        <f>IF(AF149&lt;($C$8+$C$30),0,$C$29*12*(1-$C$31))</f>
        <v>0</v>
      </c>
      <c r="BF149" s="82">
        <f>IF(AF149&lt;($C$8+$C$34),0,$C$33*12*(1-$C$35))</f>
        <v>0</v>
      </c>
      <c r="BG149" s="82">
        <f>IF(AF149&lt;$C$11,0,IF(AI149&lt;0,$C$42*(1+$C$44)^(AF149-$C$10),IF(((AL149+BE149+BF149)*$C$41)&lt;$C$42*(1+$C$44)^(AF149-$C$10),$C$42*(1+$C$44)^(AF149-$C$10),IF(((AL149+BE149+BF149)*$C$41)&lt;$C$43*(1+$C$44)^(AF149-$C$10),(AL149+BE149+BF149)*$C$41,IF(((AL149+BE149+BF149+BB149)*$C$41)&lt;$C$43*(1+$C$44)^(AF149-$C$10),((AL149+BE149+BF149+BB149)*$C$41),$C$43*(1+$C$44)^(AF149-$C$10))))))</f>
        <v>11520.790325983871</v>
      </c>
      <c r="BH149" s="82">
        <f t="shared" si="238"/>
        <v>136512.26320209919</v>
      </c>
      <c r="BI149" s="242">
        <f t="shared" si="216"/>
        <v>384891.0249632101</v>
      </c>
      <c r="BJ149" s="217">
        <f t="shared" si="217"/>
        <v>248378.76176111092</v>
      </c>
      <c r="BK149" s="118"/>
      <c r="BL149" s="219">
        <f t="shared" si="179"/>
        <v>53</v>
      </c>
      <c r="BM149" s="220">
        <f t="shared" si="180"/>
        <v>70</v>
      </c>
      <c r="BN149" s="220">
        <f t="shared" si="173"/>
        <v>0</v>
      </c>
      <c r="BO149" s="221">
        <f t="shared" si="181"/>
        <v>0</v>
      </c>
      <c r="BP149" s="221">
        <f t="shared" si="182"/>
        <v>0</v>
      </c>
      <c r="BQ149" s="222">
        <f t="shared" si="183"/>
        <v>0</v>
      </c>
      <c r="BR149" s="223">
        <f>IF(BM149&lt;$C$11-$C$10+1,0,IF(BL149&lt;=$C$13,VLOOKUP(BL149,$BN$80:$BQ$156,2,FALSE)-BS149,0))</f>
        <v>0</v>
      </c>
      <c r="BS149" s="223">
        <f>IF(BM149&lt;$C$11-$C$10+1,0,IF(BL149&lt;=$C$13,VLOOKUP(BL149,$BN$80:$BQ$156,3,FALSE),0))</f>
        <v>0</v>
      </c>
      <c r="BT149" s="222">
        <f>IF(BM149&lt;$C$11-$C$10+1,0,IF(BL149&lt;=$C$13,VLOOKUP(BL149,$BN$80:$BQ$156,4,FALSE),0))</f>
        <v>0</v>
      </c>
      <c r="BU149" s="223">
        <f t="shared" si="218"/>
        <v>0</v>
      </c>
      <c r="BV149" s="223">
        <f t="shared" si="219"/>
        <v>0</v>
      </c>
      <c r="BW149" s="223">
        <f t="shared" si="118"/>
        <v>0</v>
      </c>
      <c r="BX149" s="223">
        <f>IF(AND(BS149&lt;=0,BN149=0),MIN((MAX($BZ$80:$BZ$156)-SUM($BX$80:BX148)),CA149),IF(BS149&lt;CA149,BS149,CA149))</f>
        <v>0</v>
      </c>
      <c r="BY149" s="222">
        <f>IF(BN149&gt;0,0,IF(AND(BN149=0,BT149&lt;=0),100%,((BW148*(AVERAGE($BT$80:BT148))+(BR149*BT149))/(BR149+BW148+BS149+BV148))))</f>
        <v>1</v>
      </c>
      <c r="BZ149" s="139">
        <f t="shared" si="220"/>
        <v>430891.77838569693</v>
      </c>
      <c r="CA149" s="122">
        <f t="shared" si="184"/>
        <v>98905.220871307873</v>
      </c>
      <c r="CB149" s="181">
        <f t="shared" si="221"/>
        <v>1</v>
      </c>
      <c r="CC149" s="122">
        <f t="shared" si="222"/>
        <v>3147356.6051462563</v>
      </c>
      <c r="CD149" s="182">
        <f t="shared" si="119"/>
        <v>0</v>
      </c>
      <c r="CE149" s="122">
        <f t="shared" si="239"/>
        <v>430891.77838569693</v>
      </c>
      <c r="CF149" s="122">
        <f t="shared" si="240"/>
        <v>0</v>
      </c>
      <c r="CG149" s="122" t="str">
        <f t="shared" si="185"/>
        <v/>
      </c>
      <c r="CH149" s="140">
        <f t="shared" si="186"/>
        <v>1</v>
      </c>
      <c r="CI149" s="142">
        <f t="shared" si="241"/>
        <v>9984</v>
      </c>
      <c r="CJ149" s="134">
        <f>CI149*$C$57</f>
        <v>0</v>
      </c>
      <c r="CK149" s="142">
        <f t="shared" si="242"/>
        <v>14926</v>
      </c>
      <c r="CL149" s="134">
        <f>CK149*$C$57</f>
        <v>0</v>
      </c>
      <c r="CM149" s="142">
        <f t="shared" si="243"/>
        <v>58596</v>
      </c>
      <c r="CN149" s="134">
        <f>CM149*$C$57</f>
        <v>0</v>
      </c>
      <c r="CO149" s="132">
        <f t="shared" si="117"/>
        <v>98905.220871307873</v>
      </c>
      <c r="CP149" s="140">
        <f t="shared" si="187"/>
        <v>0.42</v>
      </c>
      <c r="CQ149" s="121" t="str">
        <f>IF($C$50="NEIN","NEIN",IF(CS149&lt;CR149,"JA","NEIN"))</f>
        <v>NEIN</v>
      </c>
      <c r="CR149" s="121">
        <f>CO149*$C$46</f>
        <v>26086.252004807451</v>
      </c>
      <c r="CS149" s="121">
        <f t="shared" si="188"/>
        <v>32272.66276594931</v>
      </c>
      <c r="CT149" s="201">
        <f>IF($C$50="NEIN",CR149,IF(CQ149="NEIN",CR149,CS149))</f>
        <v>26086.252004807451</v>
      </c>
      <c r="CU149" s="149"/>
      <c r="CV149" s="202">
        <f t="shared" si="244"/>
        <v>9984</v>
      </c>
      <c r="CW149" s="134">
        <f>CV149*$C$57</f>
        <v>0</v>
      </c>
      <c r="CX149" s="142">
        <f t="shared" si="245"/>
        <v>14926</v>
      </c>
      <c r="CY149" s="134">
        <f>CX149*$C$57</f>
        <v>0</v>
      </c>
      <c r="CZ149" s="142">
        <f t="shared" si="246"/>
        <v>58596</v>
      </c>
      <c r="DA149" s="143">
        <f>CZ149*$C$57</f>
        <v>0</v>
      </c>
      <c r="DB149" s="165">
        <f t="shared" si="120"/>
        <v>98905.220871307873</v>
      </c>
      <c r="DC149" s="140">
        <f t="shared" si="189"/>
        <v>0.42</v>
      </c>
      <c r="DD149" s="121" t="str">
        <f>IF($C$50="NEIN","NEIN",IF(DF149&lt;DE149,"JA","NEIN"))</f>
        <v>NEIN</v>
      </c>
      <c r="DE149" s="121">
        <f>DB149*$C$46</f>
        <v>26086.252004807451</v>
      </c>
      <c r="DF149" s="121">
        <f t="shared" si="190"/>
        <v>32272.66276594931</v>
      </c>
      <c r="DG149" s="201">
        <f>IF($C$50="NEIN",DE149,IF(DD149="NEIN",DE149,DF149))</f>
        <v>26086.252004807451</v>
      </c>
      <c r="DH149" s="159"/>
      <c r="DI149" s="74"/>
      <c r="DJ149" s="74"/>
      <c r="DK149" s="128"/>
      <c r="DL149" s="128"/>
      <c r="DM149" s="128"/>
      <c r="DN149" s="74"/>
      <c r="DO149" s="28">
        <f t="shared" si="247"/>
        <v>2090</v>
      </c>
      <c r="DP149" s="17">
        <f>IF($C$13+$C$10&gt;=DO149,-AG149,IF(DO149=$C$13+$C$10+1,$EK$93,0))</f>
        <v>0</v>
      </c>
      <c r="DQ149" s="17">
        <f t="shared" si="248"/>
        <v>6249657.7888480192</v>
      </c>
      <c r="DR149" s="17">
        <f t="shared" si="249"/>
        <v>22049058.684381079</v>
      </c>
      <c r="DS149" s="17">
        <f t="shared" si="223"/>
        <v>367114.34996994335</v>
      </c>
      <c r="DT149" s="17">
        <f t="shared" si="191"/>
        <v>23985305.146755595</v>
      </c>
      <c r="DU149" s="17">
        <f t="shared" si="250"/>
        <v>1569132.1124045737</v>
      </c>
      <c r="DV149" s="33">
        <f t="shared" si="192"/>
        <v>10983.924786832</v>
      </c>
      <c r="DW149" s="32">
        <f t="shared" si="193"/>
        <v>479706.10293511191</v>
      </c>
      <c r="DX149" s="17">
        <f t="shared" si="251"/>
        <v>0</v>
      </c>
      <c r="DY149" s="17">
        <f t="shared" si="252"/>
        <v>0</v>
      </c>
      <c r="DZ149" s="17">
        <f t="shared" si="194"/>
        <v>0</v>
      </c>
      <c r="EA149" s="17">
        <f t="shared" si="224"/>
        <v>88354.475504395014</v>
      </c>
      <c r="EB149" s="15">
        <f t="shared" si="225"/>
        <v>391351.62743071688</v>
      </c>
      <c r="EC149" s="15">
        <f>IF(DP149=0,EC148,IF(DO149&lt;=$EK$88+$C$10,ABS(DP149)+EC148,EC148))</f>
        <v>430891.77838569693</v>
      </c>
      <c r="ED149" s="15">
        <f t="shared" si="253"/>
        <v>1388177.4826092313</v>
      </c>
      <c r="EE149" s="16">
        <f t="shared" si="254"/>
        <v>23985305.146755595</v>
      </c>
      <c r="EF149" s="15">
        <f t="shared" si="195"/>
        <v>367114.34996994335</v>
      </c>
      <c r="EG149" s="15">
        <f t="shared" si="255"/>
        <v>5818766.0104623204</v>
      </c>
      <c r="EH149" s="16"/>
      <c r="EI149" s="16"/>
      <c r="EJ149"/>
      <c r="EK149"/>
      <c r="EL149"/>
      <c r="EM149" s="28">
        <f t="shared" si="256"/>
        <v>2090</v>
      </c>
      <c r="EN149" s="29">
        <f>IF($C$13+$C$10&gt;=EM149,-(AG149),IF(EM149=$C$13+$C$10+1,$FB$93,0))</f>
        <v>0</v>
      </c>
      <c r="EO149" s="30">
        <f t="shared" si="257"/>
        <v>407048.50682112522</v>
      </c>
      <c r="EP149" s="30">
        <f t="shared" si="258"/>
        <v>27885462.40559708</v>
      </c>
      <c r="EQ149" s="30">
        <f t="shared" si="226"/>
        <v>-2357.6572087386412</v>
      </c>
      <c r="ER149" s="25">
        <f t="shared" si="196"/>
        <v>29834922.080775529</v>
      </c>
      <c r="ES149" s="30">
        <f t="shared" si="259"/>
        <v>1951817.3323871866</v>
      </c>
      <c r="ET149" s="26">
        <f t="shared" si="197"/>
        <v>13662.721326710287</v>
      </c>
      <c r="EU149" s="30">
        <f t="shared" si="260"/>
        <v>13662.721326710287</v>
      </c>
      <c r="EV149" s="25">
        <f t="shared" si="198"/>
        <v>2522.4799249438865</v>
      </c>
      <c r="EW149" s="31">
        <f t="shared" si="261"/>
        <v>205995.11501768057</v>
      </c>
      <c r="EX149" s="27">
        <f>IF(EM149=0,EX148,IF(EM149&lt;=$FB$88+$C$10,ABS(EN149)+EX148,EX148))</f>
        <v>430891.77838569693</v>
      </c>
      <c r="EY149" s="15"/>
      <c r="EZ149"/>
      <c r="FA149"/>
      <c r="FB149"/>
      <c r="FC149" s="74"/>
      <c r="FD149" s="74"/>
      <c r="FE149" s="74"/>
      <c r="FF149" s="74"/>
      <c r="FG149" s="74"/>
      <c r="FH149" s="74"/>
      <c r="FI149" s="74"/>
      <c r="FJ149" s="28">
        <f t="shared" si="262"/>
        <v>2090</v>
      </c>
      <c r="FK149" s="65">
        <f>IF($C$13+$C$10&gt;=FJ149,-AG149,IF(FJ149=$C$13+$C$10+1,$EK$93,0))</f>
        <v>0</v>
      </c>
      <c r="FL149" s="65">
        <f t="shared" si="263"/>
        <v>74118.803999999975</v>
      </c>
      <c r="FM149" s="65">
        <f t="shared" si="264"/>
        <v>1867790.4190223648</v>
      </c>
      <c r="FN149" s="65">
        <f t="shared" si="227"/>
        <v>0</v>
      </c>
      <c r="FO149" s="65">
        <f t="shared" si="199"/>
        <v>1998535.7483539304</v>
      </c>
      <c r="FP149" s="65">
        <f t="shared" si="265"/>
        <v>130745.32933156565</v>
      </c>
      <c r="FQ149" s="59">
        <f t="shared" si="200"/>
        <v>915.21730532095876</v>
      </c>
      <c r="FR149" s="60">
        <f t="shared" si="201"/>
        <v>39970.714967078609</v>
      </c>
      <c r="FS149" s="65">
        <f t="shared" si="266"/>
        <v>0</v>
      </c>
      <c r="FT149" s="65">
        <f t="shared" si="267"/>
        <v>0</v>
      </c>
      <c r="FU149" s="65">
        <f t="shared" si="202"/>
        <v>0</v>
      </c>
      <c r="FV149" s="65">
        <f t="shared" si="228"/>
        <v>7168.3295007968873</v>
      </c>
      <c r="FW149" s="61">
        <f t="shared" si="229"/>
        <v>32802.385466281725</v>
      </c>
      <c r="FX149" s="61">
        <f>IF(AND(FJ149&lt;=$GF$88+$C$10,FV148&lt;=0,FN149&gt;0),(FJ149-$C$10+1)*AG149+$GF$80,FX148)</f>
        <v>73074.599999999977</v>
      </c>
      <c r="FY149" s="62">
        <f t="shared" si="230"/>
        <v>33.930712205936359</v>
      </c>
      <c r="FZ149" s="63">
        <f t="shared" si="268"/>
        <v>1998535.7483539304</v>
      </c>
      <c r="GA149" s="64">
        <f t="shared" si="269"/>
        <v>38118.17181678296</v>
      </c>
      <c r="GB149" s="64">
        <f t="shared" si="270"/>
        <v>789806.01978350978</v>
      </c>
      <c r="GC149" s="66">
        <f t="shared" si="203"/>
        <v>0</v>
      </c>
      <c r="GD149" s="64">
        <f t="shared" si="271"/>
        <v>1580.6039999999994</v>
      </c>
      <c r="GE149"/>
      <c r="GF149"/>
      <c r="GG149" s="74"/>
      <c r="GH149" s="74"/>
      <c r="GI149" s="28">
        <f t="shared" si="272"/>
        <v>2090</v>
      </c>
      <c r="GJ149" s="9">
        <f>IF($GX$88+$C$10&gt;=GI149,-AG149,IF(GI149=$GX$88+$C$10+1,$FB$93,0))</f>
        <v>0</v>
      </c>
      <c r="GK149" s="5">
        <f t="shared" si="273"/>
        <v>983886.57966289064</v>
      </c>
      <c r="GL149" s="5">
        <f t="shared" si="274"/>
        <v>25189925.834298652</v>
      </c>
      <c r="GM149" s="35">
        <f t="shared" si="231"/>
        <v>29162.11283528967</v>
      </c>
      <c r="GN149" s="4">
        <f t="shared" si="204"/>
        <v>26984424.103433318</v>
      </c>
      <c r="GO149" s="5">
        <f t="shared" si="275"/>
        <v>1765336.1562993787</v>
      </c>
      <c r="GP149" s="5">
        <f t="shared" si="205"/>
        <v>12357.353094095632</v>
      </c>
      <c r="GQ149" s="5">
        <f t="shared" si="276"/>
        <v>12357.353094095632</v>
      </c>
      <c r="GR149" s="4">
        <f t="shared" si="206"/>
        <v>2281.4763149974056</v>
      </c>
      <c r="GS149" s="7">
        <f t="shared" si="277"/>
        <v>182003.76266639284</v>
      </c>
      <c r="GT149" s="107" t="e">
        <f>IF($DG$62=0,EX149,IF(GI149-$C$10+1&lt;=$GF$98,0,#REF!-FX149))</f>
        <v>#REF!</v>
      </c>
      <c r="GU149"/>
      <c r="GV149"/>
      <c r="GW149"/>
      <c r="GX149"/>
      <c r="GY149" s="74"/>
      <c r="GZ149" s="74"/>
      <c r="HA149" s="74"/>
      <c r="HB149" s="74"/>
      <c r="HC149" s="74"/>
      <c r="HD149" s="74"/>
    </row>
    <row r="150" spans="2:212" ht="16.149999999999999" thickBot="1" x14ac:dyDescent="0.55000000000000004">
      <c r="B150" s="333"/>
      <c r="C150" s="75"/>
      <c r="D150" s="75"/>
      <c r="F150" s="75"/>
      <c r="G150" s="75"/>
      <c r="H150" s="75"/>
      <c r="I150" s="75"/>
      <c r="J150" s="75"/>
      <c r="K150" s="75"/>
      <c r="L150" s="75"/>
      <c r="M150" s="75"/>
      <c r="O150" s="75"/>
      <c r="P150" s="75"/>
      <c r="Q150" s="75"/>
      <c r="R150" s="75"/>
      <c r="S150" s="290"/>
      <c r="T150" s="291"/>
      <c r="U150" s="291"/>
      <c r="V150" s="292"/>
      <c r="W150" s="292"/>
      <c r="AB150" s="117" t="str">
        <f t="shared" si="207"/>
        <v/>
      </c>
      <c r="AC150" s="117" t="str">
        <f t="shared" si="208"/>
        <v/>
      </c>
      <c r="AD150" s="299">
        <f>IF($C$20="NEIN",$C$21,IF($C$22="JA",'HISTORISCHE RENDITEN'!E74,'HISTORISCHE RENDITEN'!D74))</f>
        <v>0.11720000000000001</v>
      </c>
      <c r="AE150" s="129">
        <f t="shared" si="174"/>
        <v>98</v>
      </c>
      <c r="AF150" s="120">
        <f t="shared" si="209"/>
        <v>2091</v>
      </c>
      <c r="AG150" s="122">
        <f t="shared" si="175"/>
        <v>0</v>
      </c>
      <c r="AH150" s="124">
        <f t="shared" si="210"/>
        <v>430891.77838569693</v>
      </c>
      <c r="AI150" s="296">
        <f t="shared" si="232"/>
        <v>248378.76176111092</v>
      </c>
      <c r="AJ150" s="123">
        <f t="shared" si="233"/>
        <v>0</v>
      </c>
      <c r="AK150" s="124">
        <f t="shared" si="211"/>
        <v>277488.75263951311</v>
      </c>
      <c r="AL150" s="122">
        <f t="shared" si="176"/>
        <v>29109.990878402197</v>
      </c>
      <c r="AM150" s="122">
        <f>IF($C$25="Ausschütter",0,IF(AL150&gt;=0,(AI150+AJ150)*$C$48*0.7))</f>
        <v>121.70559326294435</v>
      </c>
      <c r="AN150" s="122">
        <f t="shared" si="177"/>
        <v>0</v>
      </c>
      <c r="AO150" s="122">
        <f t="shared" si="212"/>
        <v>121.70559326294435</v>
      </c>
      <c r="AP150" s="122">
        <f t="shared" si="234"/>
        <v>23055.013883048705</v>
      </c>
      <c r="AQ150" s="122">
        <f>IF($C$25="AUSSCHÜTTER",0,IF(AO150*$C$46*$C$49&lt;=$C$47,0,AO150*$C$46*$C$49))</f>
        <v>0</v>
      </c>
      <c r="AR150" s="122">
        <f>IF(AO149*$C$49&gt;$C$47,(AN150)*$C$49*$C$46,IF((AO149+AN150)*$C$49&gt;$C$47,((AO149+AN150)*$C$49-$C$47)*$C$46,0))</f>
        <v>0</v>
      </c>
      <c r="AS150" s="122">
        <f t="shared" si="235"/>
        <v>0</v>
      </c>
      <c r="AT150" s="122">
        <f t="shared" si="213"/>
        <v>430891.77838569693</v>
      </c>
      <c r="AU150" s="122">
        <f t="shared" si="236"/>
        <v>0</v>
      </c>
      <c r="AV150" s="122">
        <f t="shared" si="237"/>
        <v>277488.75263951311</v>
      </c>
      <c r="AW150" s="122">
        <f t="shared" si="214"/>
        <v>0</v>
      </c>
      <c r="AX150" s="130">
        <f t="shared" si="215"/>
        <v>0</v>
      </c>
      <c r="AY150" s="82">
        <f>IF(AF150&lt;$C$11,$C$15*(1+$C$19)^(AF150-$C$10),0)</f>
        <v>0</v>
      </c>
      <c r="AZ150" s="82">
        <f>$C$14*(1+$C$37)^(AF150-$C$10)</f>
        <v>101377.85139309056</v>
      </c>
      <c r="BA150" s="165">
        <f>IF(AF150&lt;$C$11,0,MAX($C$38*AI150,AZ150))</f>
        <v>101377.85139309056</v>
      </c>
      <c r="BB150" s="82">
        <f>IF(AF150&lt;$C$11,0,MAX($C$38*AI150,AZ150))</f>
        <v>101377.85139309056</v>
      </c>
      <c r="BC150" s="136">
        <f>IF($C$39="JA",CT150,DG150)</f>
        <v>26738.408304927634</v>
      </c>
      <c r="BD150" s="82">
        <f t="shared" si="178"/>
        <v>0</v>
      </c>
      <c r="BE150" s="82">
        <f>IF(AF150&lt;($C$8+$C$30),0,$C$29*12*(1-$C$31))</f>
        <v>0</v>
      </c>
      <c r="BF150" s="82">
        <f>IF(AF150&lt;($C$8+$C$34),0,$C$33*12*(1-$C$35))</f>
        <v>0</v>
      </c>
      <c r="BG150" s="82">
        <f>IF(AF150&lt;$C$11,0,IF(AI150&lt;0,$C$42*(1+$C$44)^(AF150-$C$10),IF(((AL150+BE150+BF150)*$C$41)&lt;$C$42*(1+$C$44)^(AF150-$C$10),$C$42*(1+$C$44)^(AF150-$C$10),IF(((AL150+BE150+BF150)*$C$41)&lt;$C$43*(1+$C$44)^(AF150-$C$10),(AL150+BE150+BF150)*$C$41,IF(((AL150+BE150+BF150+BB150)*$C$41)&lt;$C$43*(1+$C$44)^(AF150-$C$10),((AL150+BE150+BF150+BB150)*$C$41),$C$43*(1+$C$44)^(AF150-$C$10))))))</f>
        <v>6805.0951060721018</v>
      </c>
      <c r="BH150" s="82">
        <f t="shared" si="238"/>
        <v>134921.35480409028</v>
      </c>
      <c r="BI150" s="242">
        <f t="shared" si="216"/>
        <v>277488.75263951311</v>
      </c>
      <c r="BJ150" s="217">
        <f t="shared" si="217"/>
        <v>142567.39783542283</v>
      </c>
      <c r="BK150" s="118"/>
      <c r="BL150" s="219">
        <f t="shared" si="179"/>
        <v>54</v>
      </c>
      <c r="BM150" s="220">
        <f t="shared" si="180"/>
        <v>71</v>
      </c>
      <c r="BN150" s="220">
        <f t="shared" si="173"/>
        <v>0</v>
      </c>
      <c r="BO150" s="221">
        <f t="shared" si="181"/>
        <v>0</v>
      </c>
      <c r="BP150" s="221">
        <f t="shared" si="182"/>
        <v>0</v>
      </c>
      <c r="BQ150" s="222">
        <f t="shared" si="183"/>
        <v>0</v>
      </c>
      <c r="BR150" s="223">
        <f>IF(BM150&lt;$C$11-$C$10+1,0,IF(BL150&lt;=$C$13,VLOOKUP(BL150,$BN$80:$BQ$156,2,FALSE)-BS150,0))</f>
        <v>0</v>
      </c>
      <c r="BS150" s="223">
        <f>IF(BM150&lt;$C$11-$C$10+1,0,IF(BL150&lt;=$C$13,VLOOKUP(BL150,$BN$80:$BQ$156,3,FALSE),0))</f>
        <v>0</v>
      </c>
      <c r="BT150" s="222">
        <f>IF(BM150&lt;$C$11-$C$10+1,0,IF(BL150&lt;=$C$13,VLOOKUP(BL150,$BN$80:$BQ$156,4,FALSE),0))</f>
        <v>0</v>
      </c>
      <c r="BU150" s="223">
        <f t="shared" si="218"/>
        <v>0</v>
      </c>
      <c r="BV150" s="223">
        <f t="shared" si="219"/>
        <v>0</v>
      </c>
      <c r="BW150" s="223">
        <f t="shared" si="118"/>
        <v>0</v>
      </c>
      <c r="BX150" s="223">
        <f>IF(AND(BS150&lt;=0,BN150=0),MIN((MAX($BZ$80:$BZ$156)-SUM($BX$80:BX149)),CA150),IF(BS150&lt;CA150,BS150,CA150))</f>
        <v>0</v>
      </c>
      <c r="BY150" s="222">
        <f>IF(BN150&gt;0,0,IF(AND(BN150=0,BT150&lt;=0),100%,((BW149*(AVERAGE($BT$80:BT149))+(BR150*BT150))/(BR150+BW149+BS150+BV149))))</f>
        <v>1</v>
      </c>
      <c r="BZ150" s="139">
        <f t="shared" si="220"/>
        <v>430891.77838569693</v>
      </c>
      <c r="CA150" s="122">
        <f t="shared" si="184"/>
        <v>101377.85139309056</v>
      </c>
      <c r="CB150" s="181">
        <f t="shared" si="221"/>
        <v>1</v>
      </c>
      <c r="CC150" s="122">
        <f t="shared" si="222"/>
        <v>3248734.4565393468</v>
      </c>
      <c r="CD150" s="182">
        <f t="shared" si="119"/>
        <v>0</v>
      </c>
      <c r="CE150" s="122">
        <f t="shared" si="239"/>
        <v>430891.77838569693</v>
      </c>
      <c r="CF150" s="122">
        <f t="shared" si="240"/>
        <v>0</v>
      </c>
      <c r="CG150" s="122" t="str">
        <f t="shared" si="185"/>
        <v/>
      </c>
      <c r="CH150" s="140">
        <f t="shared" si="186"/>
        <v>1</v>
      </c>
      <c r="CI150" s="142">
        <f t="shared" si="241"/>
        <v>9984</v>
      </c>
      <c r="CJ150" s="134">
        <f>CI150*$C$57</f>
        <v>0</v>
      </c>
      <c r="CK150" s="142">
        <f t="shared" si="242"/>
        <v>14926</v>
      </c>
      <c r="CL150" s="134">
        <f>CK150*$C$57</f>
        <v>0</v>
      </c>
      <c r="CM150" s="142">
        <f t="shared" si="243"/>
        <v>58596</v>
      </c>
      <c r="CN150" s="134">
        <f>CM150*$C$57</f>
        <v>0</v>
      </c>
      <c r="CO150" s="132">
        <f t="shared" si="117"/>
        <v>101377.85139309056</v>
      </c>
      <c r="CP150" s="140">
        <f t="shared" si="187"/>
        <v>0.42</v>
      </c>
      <c r="CQ150" s="121" t="str">
        <f>IF($C$50="NEIN","NEIN",IF(CS150&lt;CR150,"JA","NEIN"))</f>
        <v>NEIN</v>
      </c>
      <c r="CR150" s="121">
        <f>CO150*$C$46</f>
        <v>26738.408304927634</v>
      </c>
      <c r="CS150" s="121">
        <f t="shared" si="188"/>
        <v>33311.167585098032</v>
      </c>
      <c r="CT150" s="201">
        <f>IF($C$50="NEIN",CR150,IF(CQ150="NEIN",CR150,CS150))</f>
        <v>26738.408304927634</v>
      </c>
      <c r="CU150" s="149"/>
      <c r="CV150" s="202">
        <f t="shared" si="244"/>
        <v>9984</v>
      </c>
      <c r="CW150" s="134">
        <f>CV150*$C$57</f>
        <v>0</v>
      </c>
      <c r="CX150" s="142">
        <f t="shared" si="245"/>
        <v>14926</v>
      </c>
      <c r="CY150" s="134">
        <f>CX150*$C$57</f>
        <v>0</v>
      </c>
      <c r="CZ150" s="142">
        <f t="shared" si="246"/>
        <v>58596</v>
      </c>
      <c r="DA150" s="143">
        <f>CZ150*$C$57</f>
        <v>0</v>
      </c>
      <c r="DB150" s="165">
        <f t="shared" si="120"/>
        <v>101377.85139309056</v>
      </c>
      <c r="DC150" s="140">
        <f t="shared" si="189"/>
        <v>0.42</v>
      </c>
      <c r="DD150" s="121" t="str">
        <f>IF($C$50="NEIN","NEIN",IF(DF150&lt;DE150,"JA","NEIN"))</f>
        <v>NEIN</v>
      </c>
      <c r="DE150" s="121">
        <f>DB150*$C$46</f>
        <v>26738.408304927634</v>
      </c>
      <c r="DF150" s="121">
        <f t="shared" si="190"/>
        <v>33311.167585098032</v>
      </c>
      <c r="DG150" s="201">
        <f>IF($C$50="NEIN",DE150,IF(DD150="NEIN",DE150,DF150))</f>
        <v>26738.408304927634</v>
      </c>
      <c r="DH150" s="159"/>
      <c r="DI150" s="74"/>
      <c r="DJ150" s="74"/>
      <c r="DK150" s="128"/>
      <c r="DL150" s="128"/>
      <c r="DM150" s="128"/>
      <c r="DN150" s="74"/>
      <c r="DO150" s="28">
        <f t="shared" si="247"/>
        <v>2091</v>
      </c>
      <c r="DP150" s="17">
        <f>IF($C$13+$C$10&gt;=DO150,-AG150,IF(DO150=$C$13+$C$10+1,$EK$93,0))</f>
        <v>0</v>
      </c>
      <c r="DQ150" s="17">
        <f t="shared" si="248"/>
        <v>6641009.4162787357</v>
      </c>
      <c r="DR150" s="17">
        <f t="shared" si="249"/>
        <v>23505599.043820482</v>
      </c>
      <c r="DS150" s="17">
        <f t="shared" si="223"/>
        <v>391351.62743071688</v>
      </c>
      <c r="DT150" s="17">
        <f t="shared" si="191"/>
        <v>25569737.218238786</v>
      </c>
      <c r="DU150" s="17">
        <f t="shared" si="250"/>
        <v>1672786.5469875857</v>
      </c>
      <c r="DV150" s="33">
        <f t="shared" si="192"/>
        <v>11709.505828913087</v>
      </c>
      <c r="DW150" s="32">
        <f t="shared" si="193"/>
        <v>511394.74436477572</v>
      </c>
      <c r="DX150" s="17">
        <f t="shared" si="251"/>
        <v>0</v>
      </c>
      <c r="DY150" s="17">
        <f t="shared" si="252"/>
        <v>0</v>
      </c>
      <c r="DZ150" s="17">
        <f t="shared" si="194"/>
        <v>0</v>
      </c>
      <c r="EA150" s="17">
        <f t="shared" si="224"/>
        <v>94204.990928346699</v>
      </c>
      <c r="EB150" s="15">
        <f t="shared" si="225"/>
        <v>417189.75343642902</v>
      </c>
      <c r="EC150" s="15">
        <f>IF(DP150=0,EC149,IF(DO150&lt;=$EK$88+$C$10,ABS(DP150)+EC149,EC149))</f>
        <v>430891.77838569693</v>
      </c>
      <c r="ED150" s="15">
        <f t="shared" si="253"/>
        <v>1482382.473537578</v>
      </c>
      <c r="EE150" s="16">
        <f t="shared" si="254"/>
        <v>25569737.218238786</v>
      </c>
      <c r="EF150" s="15">
        <f t="shared" si="195"/>
        <v>391351.62743071688</v>
      </c>
      <c r="EG150" s="15">
        <f t="shared" si="255"/>
        <v>6210117.6378930369</v>
      </c>
      <c r="EH150" s="16"/>
      <c r="EI150" s="16"/>
      <c r="EJ150"/>
      <c r="EK150"/>
      <c r="EL150"/>
      <c r="EM150" s="28">
        <f t="shared" si="256"/>
        <v>2091</v>
      </c>
      <c r="EN150" s="29">
        <f>IF($C$13+$C$10&gt;=EM150,-(AG150),IF(EM150=$C$13+$C$10+1,$FB$93,0))</f>
        <v>0</v>
      </c>
      <c r="EO150" s="30">
        <f t="shared" si="257"/>
        <v>404526.02689618134</v>
      </c>
      <c r="EP150" s="30">
        <f t="shared" si="258"/>
        <v>29834922.080775529</v>
      </c>
      <c r="EQ150" s="30">
        <f t="shared" si="226"/>
        <v>-2522.4799249438865</v>
      </c>
      <c r="ER150" s="25">
        <f t="shared" si="196"/>
        <v>31920667.57291013</v>
      </c>
      <c r="ES150" s="30">
        <f t="shared" si="259"/>
        <v>2088267.9720595442</v>
      </c>
      <c r="ET150" s="26">
        <f t="shared" si="197"/>
        <v>14617.875804416786</v>
      </c>
      <c r="EU150" s="30">
        <f t="shared" si="260"/>
        <v>14617.875804416786</v>
      </c>
      <c r="EV150" s="25">
        <f t="shared" si="198"/>
        <v>2698.8253203904487</v>
      </c>
      <c r="EW150" s="31">
        <f t="shared" si="261"/>
        <v>220612.99082209734</v>
      </c>
      <c r="EX150" s="27">
        <f>IF(EM150=0,EX149,IF(EM150&lt;=$FB$88+$C$10,ABS(EN150)+EX149,EX149))</f>
        <v>430891.77838569693</v>
      </c>
      <c r="EY150" s="15"/>
      <c r="EZ150"/>
      <c r="FA150"/>
      <c r="FB150"/>
      <c r="FC150" s="74"/>
      <c r="FD150" s="74"/>
      <c r="FE150" s="74"/>
      <c r="FF150" s="74"/>
      <c r="FG150" s="74"/>
      <c r="FH150" s="74"/>
      <c r="FI150" s="74"/>
      <c r="FJ150" s="28">
        <f t="shared" si="262"/>
        <v>2091</v>
      </c>
      <c r="FK150" s="65">
        <f>IF($C$13+$C$10&gt;=FJ150,-AG150,IF(FJ150=$C$13+$C$10+1,$EK$93,0))</f>
        <v>0</v>
      </c>
      <c r="FL150" s="65">
        <f t="shared" si="263"/>
        <v>74118.803999999975</v>
      </c>
      <c r="FM150" s="65">
        <f t="shared" si="264"/>
        <v>1958565.0333868519</v>
      </c>
      <c r="FN150" s="65">
        <f t="shared" si="227"/>
        <v>0</v>
      </c>
      <c r="FO150" s="65">
        <f t="shared" si="199"/>
        <v>2095664.5857239317</v>
      </c>
      <c r="FP150" s="65">
        <f t="shared" si="265"/>
        <v>137099.55233707977</v>
      </c>
      <c r="FQ150" s="59">
        <f t="shared" si="200"/>
        <v>959.69686635955736</v>
      </c>
      <c r="FR150" s="60">
        <f t="shared" si="201"/>
        <v>41913.291714478633</v>
      </c>
      <c r="FS150" s="65">
        <f t="shared" si="266"/>
        <v>0</v>
      </c>
      <c r="FT150" s="65">
        <f t="shared" si="267"/>
        <v>0</v>
      </c>
      <c r="FU150" s="65">
        <f t="shared" si="202"/>
        <v>0</v>
      </c>
      <c r="FV150" s="65">
        <f t="shared" si="228"/>
        <v>7526.9777327856164</v>
      </c>
      <c r="FW150" s="61">
        <f t="shared" si="229"/>
        <v>34386.31398169302</v>
      </c>
      <c r="FX150" s="61">
        <f>IF(AND(FJ150&lt;=$GF$88+$C$10,FV149&lt;=0,FN150&gt;0),(FJ150-$C$10+1)*AG150+$GF$80,FX149)</f>
        <v>73074.599999999977</v>
      </c>
      <c r="FY150" s="62">
        <f t="shared" si="230"/>
        <v>35.628344819144871</v>
      </c>
      <c r="FZ150" s="63">
        <f t="shared" si="268"/>
        <v>2095664.5857239317</v>
      </c>
      <c r="GA150" s="64">
        <f t="shared" si="269"/>
        <v>39970.714967078609</v>
      </c>
      <c r="GB150" s="64">
        <f t="shared" si="270"/>
        <v>829776.73475058842</v>
      </c>
      <c r="GC150" s="66">
        <f t="shared" si="203"/>
        <v>0</v>
      </c>
      <c r="GD150" s="64">
        <f t="shared" si="271"/>
        <v>1580.6039999999994</v>
      </c>
      <c r="GE150"/>
      <c r="GF150"/>
      <c r="GG150" s="74"/>
      <c r="GH150" s="74"/>
      <c r="GI150" s="28">
        <f t="shared" si="272"/>
        <v>2091</v>
      </c>
      <c r="GJ150" s="9">
        <f>IF($GX$88+$C$10&gt;=GI150,-AG150,IF(GI150=$GX$88+$C$10+1,$FB$93,0))</f>
        <v>0</v>
      </c>
      <c r="GK150" s="5">
        <f t="shared" si="273"/>
        <v>1014407.488814175</v>
      </c>
      <c r="GL150" s="5">
        <f t="shared" si="274"/>
        <v>26984424.103433318</v>
      </c>
      <c r="GM150" s="35">
        <f t="shared" si="231"/>
        <v>30520.909151284319</v>
      </c>
      <c r="GN150" s="4">
        <f t="shared" si="204"/>
        <v>28905991.16346553</v>
      </c>
      <c r="GO150" s="5">
        <f t="shared" si="275"/>
        <v>1891046.1508809254</v>
      </c>
      <c r="GP150" s="5">
        <f t="shared" si="205"/>
        <v>13237.323056166455</v>
      </c>
      <c r="GQ150" s="5">
        <f t="shared" si="276"/>
        <v>13237.323056166455</v>
      </c>
      <c r="GR150" s="4">
        <f t="shared" si="206"/>
        <v>2443.9407692447317</v>
      </c>
      <c r="GS150" s="7">
        <f t="shared" si="277"/>
        <v>195241.08572255931</v>
      </c>
      <c r="GT150" s="107" t="e">
        <f>IF($DG$62=0,EX150,IF(GI150-$C$10+1&lt;=$GF$98,0,#REF!-FX150))</f>
        <v>#REF!</v>
      </c>
      <c r="GU150"/>
      <c r="GV150"/>
      <c r="GW150"/>
      <c r="GX150"/>
      <c r="GY150" s="74"/>
      <c r="GZ150" s="74"/>
      <c r="HA150" s="74"/>
      <c r="HB150" s="74"/>
      <c r="HC150" s="74"/>
      <c r="HD150" s="74"/>
    </row>
    <row r="151" spans="2:212" ht="16.149999999999999" thickBot="1" x14ac:dyDescent="0.55000000000000004">
      <c r="B151" s="333"/>
      <c r="C151" s="75"/>
      <c r="D151" s="75"/>
      <c r="F151" s="75"/>
      <c r="G151" s="75"/>
      <c r="H151" s="75"/>
      <c r="I151" s="75"/>
      <c r="J151" s="75"/>
      <c r="K151" s="75"/>
      <c r="L151" s="75"/>
      <c r="M151" s="75"/>
      <c r="O151" s="75"/>
      <c r="P151" s="75"/>
      <c r="Q151" s="75"/>
      <c r="R151" s="75"/>
      <c r="S151" s="290"/>
      <c r="T151" s="291"/>
      <c r="U151" s="291"/>
      <c r="V151" s="292"/>
      <c r="W151" s="292"/>
      <c r="AB151" s="117" t="str">
        <f t="shared" si="207"/>
        <v/>
      </c>
      <c r="AC151" s="117" t="str">
        <f t="shared" si="208"/>
        <v/>
      </c>
      <c r="AD151" s="299">
        <f>IF($C$20="NEIN",$C$21,IF($C$22="JA",'HISTORISCHE RENDITEN'!E75,'HISTORISCHE RENDITEN'!D75))</f>
        <v>0.14169999999999999</v>
      </c>
      <c r="AE151" s="129">
        <f t="shared" ref="AE151:AE199" si="278">AE150+1</f>
        <v>99</v>
      </c>
      <c r="AF151" s="120">
        <f t="shared" si="209"/>
        <v>2092</v>
      </c>
      <c r="AG151" s="122">
        <f t="shared" si="175"/>
        <v>0</v>
      </c>
      <c r="AH151" s="124">
        <f t="shared" si="210"/>
        <v>430891.77838569693</v>
      </c>
      <c r="AI151" s="296">
        <f t="shared" si="232"/>
        <v>142567.39783542283</v>
      </c>
      <c r="AJ151" s="123">
        <f t="shared" si="233"/>
        <v>0</v>
      </c>
      <c r="AK151" s="124">
        <f t="shared" si="211"/>
        <v>162769.19810870223</v>
      </c>
      <c r="AL151" s="122">
        <f t="shared" si="176"/>
        <v>20201.800273279398</v>
      </c>
      <c r="AM151" s="122">
        <f>IF($C$25="Ausschütter",0,IF(AL151&gt;=0,(AI151+AJ151)*$C$48*0.7))</f>
        <v>69.858024939357179</v>
      </c>
      <c r="AN151" s="122">
        <f t="shared" si="177"/>
        <v>0</v>
      </c>
      <c r="AO151" s="122">
        <f t="shared" si="212"/>
        <v>69.858024939357179</v>
      </c>
      <c r="AP151" s="122">
        <f t="shared" si="234"/>
        <v>23124.871907988061</v>
      </c>
      <c r="AQ151" s="122">
        <f>IF($C$25="AUSSCHÜTTER",0,IF(AO151*$C$46*$C$49&lt;=$C$47,0,AO151*$C$46*$C$49))</f>
        <v>0</v>
      </c>
      <c r="AR151" s="122">
        <f>IF(AO150*$C$49&gt;$C$47,(AN151)*$C$49*$C$46,IF((AO150+AN151)*$C$49&gt;$C$47,((AO150+AN151)*$C$49-$C$47)*$C$46,0))</f>
        <v>0</v>
      </c>
      <c r="AS151" s="122">
        <f t="shared" si="235"/>
        <v>0</v>
      </c>
      <c r="AT151" s="122">
        <f t="shared" si="213"/>
        <v>430891.77838569693</v>
      </c>
      <c r="AU151" s="122">
        <f t="shared" si="236"/>
        <v>0</v>
      </c>
      <c r="AV151" s="122">
        <f t="shared" si="237"/>
        <v>162769.19810870223</v>
      </c>
      <c r="AW151" s="122">
        <f t="shared" si="214"/>
        <v>0</v>
      </c>
      <c r="AX151" s="130">
        <f t="shared" si="215"/>
        <v>0</v>
      </c>
      <c r="AY151" s="82">
        <f>IF(AF151&lt;$C$11,$C$15*(1+$C$19)^(AF151-$C$10),0)</f>
        <v>0</v>
      </c>
      <c r="AZ151" s="82">
        <f>$C$14*(1+$C$37)^(AF151-$C$10)</f>
        <v>103912.29767791783</v>
      </c>
      <c r="BA151" s="165">
        <f>IF(AF151&lt;$C$11,0,MAX($C$38*AI151,AZ151))</f>
        <v>103912.29767791783</v>
      </c>
      <c r="BB151" s="82">
        <f>IF(AF151&lt;$C$11,0,MAX($C$38*AI151,AZ151))</f>
        <v>103912.29767791783</v>
      </c>
      <c r="BC151" s="136">
        <f>IF($C$39="JA",CT151,DG151)</f>
        <v>27406.868512550827</v>
      </c>
      <c r="BD151" s="82">
        <f t="shared" si="178"/>
        <v>0</v>
      </c>
      <c r="BE151" s="82">
        <f>IF(AF151&lt;($C$8+$C$30),0,$C$29*12*(1-$C$31))</f>
        <v>0</v>
      </c>
      <c r="BF151" s="82">
        <f>IF(AF151&lt;($C$8+$C$34),0,$C$33*12*(1-$C$35))</f>
        <v>0</v>
      </c>
      <c r="BG151" s="82">
        <f>IF(AF151&lt;$C$11,0,IF(AI151&lt;0,$C$42*(1+$C$44)^(AF151-$C$10),IF(((AL151+BE151+BF151)*$C$41)&lt;$C$42*(1+$C$44)^(AF151-$C$10),$C$42*(1+$C$44)^(AF151-$C$10),IF(((AL151+BE151+BF151)*$C$41)&lt;$C$43*(1+$C$44)^(AF151-$C$10),(AL151+BE151+BF151)*$C$41,IF(((AL151+BE151+BF151+BB151)*$C$41)&lt;$C$43*(1+$C$44)^(AF151-$C$10),((AL151+BE151+BF151+BB151)*$C$41),$C$43*(1+$C$44)^(AF151-$C$10))))))</f>
        <v>6907.171532663182</v>
      </c>
      <c r="BH151" s="82">
        <f t="shared" si="238"/>
        <v>138226.33772313184</v>
      </c>
      <c r="BI151" s="242">
        <f t="shared" si="216"/>
        <v>162769.19810870223</v>
      </c>
      <c r="BJ151" s="217">
        <f t="shared" si="217"/>
        <v>24542.860385570384</v>
      </c>
      <c r="BK151" s="118"/>
      <c r="BL151" s="219">
        <f t="shared" si="179"/>
        <v>55</v>
      </c>
      <c r="BM151" s="220">
        <f t="shared" si="180"/>
        <v>72</v>
      </c>
      <c r="BN151" s="220">
        <f t="shared" si="173"/>
        <v>0</v>
      </c>
      <c r="BO151" s="221">
        <f t="shared" si="181"/>
        <v>0</v>
      </c>
      <c r="BP151" s="221">
        <f t="shared" si="182"/>
        <v>0</v>
      </c>
      <c r="BQ151" s="222">
        <f t="shared" si="183"/>
        <v>0</v>
      </c>
      <c r="BR151" s="223">
        <f>IF(BM151&lt;$C$11-$C$10+1,0,IF(BL151&lt;=$C$13,VLOOKUP(BL151,$BN$80:$BQ$156,2,FALSE)-BS151,0))</f>
        <v>0</v>
      </c>
      <c r="BS151" s="223">
        <f>IF(BM151&lt;$C$11-$C$10+1,0,IF(BL151&lt;=$C$13,VLOOKUP(BL151,$BN$80:$BQ$156,3,FALSE),0))</f>
        <v>0</v>
      </c>
      <c r="BT151" s="222">
        <f>IF(BM151&lt;$C$11-$C$10+1,0,IF(BL151&lt;=$C$13,VLOOKUP(BL151,$BN$80:$BQ$156,4,FALSE),0))</f>
        <v>0</v>
      </c>
      <c r="BU151" s="223">
        <f t="shared" si="218"/>
        <v>0</v>
      </c>
      <c r="BV151" s="223">
        <f t="shared" si="219"/>
        <v>0</v>
      </c>
      <c r="BW151" s="223">
        <f t="shared" si="118"/>
        <v>0</v>
      </c>
      <c r="BX151" s="223">
        <f>IF(AND(BS151&lt;=0,BN151=0),MIN((MAX($BZ$80:$BZ$156)-SUM($BX$80:BX150)),CA151),IF(BS151&lt;CA151,BS151,CA151))</f>
        <v>0</v>
      </c>
      <c r="BY151" s="222">
        <f>IF(BN151&gt;0,0,IF(AND(BN151=0,BT151&lt;=0),100%,((BW150*(AVERAGE($BT$80:BT150))+(BR151*BT151))/(BR151+BW150+BS151+BV150))))</f>
        <v>1</v>
      </c>
      <c r="BZ151" s="139">
        <f t="shared" si="220"/>
        <v>430891.77838569693</v>
      </c>
      <c r="CA151" s="122">
        <f t="shared" si="184"/>
        <v>103912.29767791783</v>
      </c>
      <c r="CB151" s="181">
        <f t="shared" si="221"/>
        <v>1</v>
      </c>
      <c r="CC151" s="122">
        <f t="shared" si="222"/>
        <v>3352646.7542172647</v>
      </c>
      <c r="CD151" s="182">
        <f t="shared" si="119"/>
        <v>0</v>
      </c>
      <c r="CE151" s="122">
        <f t="shared" si="239"/>
        <v>430891.77838569693</v>
      </c>
      <c r="CF151" s="122">
        <f t="shared" si="240"/>
        <v>0</v>
      </c>
      <c r="CG151" s="122" t="str">
        <f t="shared" si="185"/>
        <v/>
      </c>
      <c r="CH151" s="140">
        <f t="shared" si="186"/>
        <v>1</v>
      </c>
      <c r="CI151" s="142">
        <f t="shared" si="241"/>
        <v>9984</v>
      </c>
      <c r="CJ151" s="134">
        <f>CI151*$C$57</f>
        <v>0</v>
      </c>
      <c r="CK151" s="142">
        <f t="shared" si="242"/>
        <v>14926</v>
      </c>
      <c r="CL151" s="134">
        <f>CK151*$C$57</f>
        <v>0</v>
      </c>
      <c r="CM151" s="142">
        <f t="shared" si="243"/>
        <v>58596</v>
      </c>
      <c r="CN151" s="134">
        <f>CM151*$C$57</f>
        <v>0</v>
      </c>
      <c r="CO151" s="132">
        <f t="shared" si="117"/>
        <v>103912.29767791783</v>
      </c>
      <c r="CP151" s="140">
        <f t="shared" si="187"/>
        <v>0.42</v>
      </c>
      <c r="CQ151" s="121" t="str">
        <f>IF($C$50="NEIN","NEIN",IF(CS151&lt;CR151,"JA","NEIN"))</f>
        <v>NEIN</v>
      </c>
      <c r="CR151" s="121">
        <f>CO151*$C$46</f>
        <v>27406.868512550827</v>
      </c>
      <c r="CS151" s="121">
        <f t="shared" si="188"/>
        <v>34375.635024725489</v>
      </c>
      <c r="CT151" s="201">
        <f>IF($C$50="NEIN",CR151,IF(CQ151="NEIN",CR151,CS151))</f>
        <v>27406.868512550827</v>
      </c>
      <c r="CU151" s="149"/>
      <c r="CV151" s="202">
        <f t="shared" si="244"/>
        <v>9984</v>
      </c>
      <c r="CW151" s="134">
        <f>CV151*$C$57</f>
        <v>0</v>
      </c>
      <c r="CX151" s="142">
        <f t="shared" si="245"/>
        <v>14926</v>
      </c>
      <c r="CY151" s="134">
        <f>CX151*$C$57</f>
        <v>0</v>
      </c>
      <c r="CZ151" s="142">
        <f t="shared" si="246"/>
        <v>58596</v>
      </c>
      <c r="DA151" s="143">
        <f>CZ151*$C$57</f>
        <v>0</v>
      </c>
      <c r="DB151" s="165">
        <f t="shared" si="120"/>
        <v>103912.29767791783</v>
      </c>
      <c r="DC151" s="140">
        <f t="shared" si="189"/>
        <v>0.42</v>
      </c>
      <c r="DD151" s="121" t="str">
        <f>IF($C$50="NEIN","NEIN",IF(DF151&lt;DE151,"JA","NEIN"))</f>
        <v>NEIN</v>
      </c>
      <c r="DE151" s="121">
        <f>DB151*$C$46</f>
        <v>27406.868512550827</v>
      </c>
      <c r="DF151" s="121">
        <f t="shared" si="190"/>
        <v>34375.635024725489</v>
      </c>
      <c r="DG151" s="201">
        <f>IF($C$50="NEIN",DE151,IF(DD151="NEIN",DE151,DF151))</f>
        <v>27406.868512550827</v>
      </c>
      <c r="DH151" s="159"/>
      <c r="DI151" s="74"/>
      <c r="DJ151" s="74"/>
      <c r="DK151" s="128"/>
      <c r="DL151" s="128"/>
      <c r="DM151" s="128"/>
      <c r="DN151" s="74"/>
      <c r="DO151" s="28">
        <f t="shared" si="247"/>
        <v>2092</v>
      </c>
      <c r="DP151" s="17">
        <f>IF($C$13+$C$10&gt;=DO151,-AG151,IF(DO151=$C$13+$C$10+1,$EK$93,0))</f>
        <v>0</v>
      </c>
      <c r="DQ151" s="17">
        <f t="shared" si="248"/>
        <v>7058199.1697151652</v>
      </c>
      <c r="DR151" s="17">
        <f t="shared" si="249"/>
        <v>25058342.47387401</v>
      </c>
      <c r="DS151" s="17">
        <f t="shared" si="223"/>
        <v>417189.75343642902</v>
      </c>
      <c r="DT151" s="17">
        <f t="shared" si="191"/>
        <v>27258819.483222172</v>
      </c>
      <c r="DU151" s="17">
        <f t="shared" si="250"/>
        <v>1783287.255911734</v>
      </c>
      <c r="DV151" s="33">
        <f t="shared" si="192"/>
        <v>12483.010791382114</v>
      </c>
      <c r="DW151" s="32">
        <f t="shared" si="193"/>
        <v>545176.38966444344</v>
      </c>
      <c r="DX151" s="17">
        <f t="shared" si="251"/>
        <v>0</v>
      </c>
      <c r="DY151" s="17">
        <f t="shared" si="252"/>
        <v>0</v>
      </c>
      <c r="DZ151" s="17">
        <f t="shared" si="194"/>
        <v>0</v>
      </c>
      <c r="EA151" s="17">
        <f t="shared" si="224"/>
        <v>100441.92719179786</v>
      </c>
      <c r="EB151" s="15">
        <f t="shared" si="225"/>
        <v>444734.46247264557</v>
      </c>
      <c r="EC151" s="15">
        <f>IF(DP151=0,EC150,IF(DO151&lt;=$EK$88+$C$10,ABS(DP151)+EC150,EC150))</f>
        <v>430891.77838569693</v>
      </c>
      <c r="ED151" s="15">
        <f t="shared" si="253"/>
        <v>1582824.4007293759</v>
      </c>
      <c r="EE151" s="16">
        <f t="shared" si="254"/>
        <v>27258819.483222172</v>
      </c>
      <c r="EF151" s="15">
        <f t="shared" si="195"/>
        <v>417189.75343642902</v>
      </c>
      <c r="EG151" s="15">
        <f t="shared" si="255"/>
        <v>6627307.3913294664</v>
      </c>
      <c r="EH151" s="16"/>
      <c r="EI151" s="16"/>
      <c r="EJ151"/>
      <c r="EK151"/>
      <c r="EL151"/>
      <c r="EM151" s="28">
        <f t="shared" si="256"/>
        <v>2092</v>
      </c>
      <c r="EN151" s="29">
        <f>IF($C$13+$C$10&gt;=EM151,-(AG151),IF(EM151=$C$13+$C$10+1,$FB$93,0))</f>
        <v>0</v>
      </c>
      <c r="EO151" s="30">
        <f t="shared" si="257"/>
        <v>401827.20157579088</v>
      </c>
      <c r="EP151" s="30">
        <f t="shared" si="258"/>
        <v>31920667.57291013</v>
      </c>
      <c r="EQ151" s="30">
        <f t="shared" si="226"/>
        <v>-2698.8253203904487</v>
      </c>
      <c r="ER151" s="25">
        <f t="shared" si="196"/>
        <v>34152226.559921026</v>
      </c>
      <c r="ES151" s="30">
        <f t="shared" si="259"/>
        <v>2234257.8123312853</v>
      </c>
      <c r="ET151" s="26">
        <f t="shared" si="197"/>
        <v>15639.804686318972</v>
      </c>
      <c r="EU151" s="30">
        <f t="shared" si="260"/>
        <v>15639.804686318972</v>
      </c>
      <c r="EV151" s="25">
        <f t="shared" si="198"/>
        <v>2887.4989402116398</v>
      </c>
      <c r="EW151" s="31">
        <f t="shared" si="261"/>
        <v>236252.79550841631</v>
      </c>
      <c r="EX151" s="27">
        <f>IF(EM151=0,EX150,IF(EM151&lt;=$FB$88+$C$10,ABS(EN151)+EX150,EX150))</f>
        <v>430891.77838569693</v>
      </c>
      <c r="EY151" s="15"/>
      <c r="EZ151"/>
      <c r="FA151"/>
      <c r="FB151"/>
      <c r="FC151" s="74"/>
      <c r="FD151" s="74"/>
      <c r="FE151" s="74"/>
      <c r="FF151" s="74"/>
      <c r="FG151" s="74"/>
      <c r="FH151" s="74"/>
      <c r="FI151" s="74"/>
      <c r="FJ151" s="28">
        <f t="shared" si="262"/>
        <v>2092</v>
      </c>
      <c r="FK151" s="65">
        <f>IF($C$13+$C$10&gt;=FJ151,-AG151,IF(FJ151=$C$13+$C$10+1,$EK$93,0))</f>
        <v>0</v>
      </c>
      <c r="FL151" s="65">
        <f t="shared" si="263"/>
        <v>74118.803999999975</v>
      </c>
      <c r="FM151" s="65">
        <f t="shared" si="264"/>
        <v>2053751.2940094532</v>
      </c>
      <c r="FN151" s="65">
        <f t="shared" si="227"/>
        <v>0</v>
      </c>
      <c r="FO151" s="65">
        <f t="shared" si="199"/>
        <v>2197513.8845901149</v>
      </c>
      <c r="FP151" s="65">
        <f t="shared" si="265"/>
        <v>143762.59058066178</v>
      </c>
      <c r="FQ151" s="59">
        <f t="shared" si="200"/>
        <v>1006.3381340646318</v>
      </c>
      <c r="FR151" s="60">
        <f t="shared" si="201"/>
        <v>43950.277691802301</v>
      </c>
      <c r="FS151" s="65">
        <f t="shared" si="266"/>
        <v>0</v>
      </c>
      <c r="FT151" s="65">
        <f t="shared" si="267"/>
        <v>0</v>
      </c>
      <c r="FU151" s="65">
        <f t="shared" si="202"/>
        <v>0</v>
      </c>
      <c r="FV151" s="65">
        <f t="shared" si="228"/>
        <v>7903.056268848999</v>
      </c>
      <c r="FW151" s="61">
        <f t="shared" si="229"/>
        <v>36047.221422953298</v>
      </c>
      <c r="FX151" s="61">
        <f>IF(AND(FJ151&lt;=$GF$88+$C$10,FV150&lt;=0,FN151&gt;0),(FJ151-$C$10+1)*AG151+$GF$80,FX150)</f>
        <v>73074.599999999977</v>
      </c>
      <c r="FY151" s="62">
        <f t="shared" si="230"/>
        <v>37.40848237735532</v>
      </c>
      <c r="FZ151" s="63">
        <f t="shared" si="268"/>
        <v>2197513.8845901149</v>
      </c>
      <c r="GA151" s="64">
        <f t="shared" si="269"/>
        <v>41913.291714478633</v>
      </c>
      <c r="GB151" s="64">
        <f t="shared" si="270"/>
        <v>871690.02646506706</v>
      </c>
      <c r="GC151" s="66">
        <f t="shared" si="203"/>
        <v>0</v>
      </c>
      <c r="GD151" s="64">
        <f t="shared" si="271"/>
        <v>1580.6039999999994</v>
      </c>
      <c r="GE151"/>
      <c r="GF151"/>
      <c r="GG151" s="74"/>
      <c r="GH151" s="74"/>
      <c r="GI151" s="28">
        <f t="shared" si="272"/>
        <v>2092</v>
      </c>
      <c r="GJ151" s="9">
        <f>IF($GX$88+$C$10&gt;=GI151,-AG151,IF(GI151=$GX$88+$C$10+1,$FB$93,0))</f>
        <v>0</v>
      </c>
      <c r="GK151" s="5">
        <f t="shared" si="273"/>
        <v>1046349.8620266233</v>
      </c>
      <c r="GL151" s="5">
        <f t="shared" si="274"/>
        <v>28905991.16346553</v>
      </c>
      <c r="GM151" s="35">
        <f t="shared" si="231"/>
        <v>31942.373212448289</v>
      </c>
      <c r="GN151" s="4">
        <f t="shared" si="204"/>
        <v>30963588.88424544</v>
      </c>
      <c r="GO151" s="5">
        <f t="shared" si="275"/>
        <v>2025655.3475674614</v>
      </c>
      <c r="GP151" s="5">
        <f t="shared" si="205"/>
        <v>14179.587432972208</v>
      </c>
      <c r="GQ151" s="5">
        <f t="shared" si="276"/>
        <v>14179.587432972208</v>
      </c>
      <c r="GR151" s="4">
        <f t="shared" si="206"/>
        <v>2617.9063298124938</v>
      </c>
      <c r="GS151" s="7">
        <f t="shared" si="277"/>
        <v>209420.67315553152</v>
      </c>
      <c r="GT151" s="107" t="e">
        <f>IF($DG$62=0,EX151,IF(GI151-$C$10+1&lt;=$GF$98,0,#REF!-FX151))</f>
        <v>#REF!</v>
      </c>
      <c r="GU151"/>
      <c r="GV151"/>
      <c r="GW151"/>
      <c r="GX151"/>
      <c r="GY151" s="74"/>
      <c r="GZ151" s="74"/>
      <c r="HA151" s="74"/>
      <c r="HB151" s="74"/>
      <c r="HC151" s="74"/>
      <c r="HD151" s="74"/>
    </row>
    <row r="152" spans="2:212" ht="16.149999999999999" thickBot="1" x14ac:dyDescent="0.55000000000000004">
      <c r="B152" s="333"/>
      <c r="C152" s="75"/>
      <c r="D152" s="75"/>
      <c r="F152" s="75"/>
      <c r="G152" s="75"/>
      <c r="H152" s="75"/>
      <c r="I152" s="75"/>
      <c r="J152" s="75"/>
      <c r="K152" s="75"/>
      <c r="L152" s="75"/>
      <c r="M152" s="75"/>
      <c r="O152" s="75"/>
      <c r="P152" s="75"/>
      <c r="Q152" s="75"/>
      <c r="R152" s="75"/>
      <c r="S152" s="290"/>
      <c r="T152" s="291"/>
      <c r="U152" s="291"/>
      <c r="V152" s="292"/>
      <c r="W152" s="292"/>
      <c r="AB152" s="117">
        <f t="shared" si="207"/>
        <v>100</v>
      </c>
      <c r="AC152" s="117">
        <f t="shared" si="208"/>
        <v>2093</v>
      </c>
      <c r="AD152" s="299">
        <f>IF($C$20="NEIN",$C$21,IF($C$22="JA",'HISTORISCHE RENDITEN'!E76,'HISTORISCHE RENDITEN'!D76))</f>
        <v>0.2278</v>
      </c>
      <c r="AE152" s="129">
        <f t="shared" si="278"/>
        <v>100</v>
      </c>
      <c r="AF152" s="120">
        <f t="shared" si="209"/>
        <v>2093</v>
      </c>
      <c r="AG152" s="122">
        <f t="shared" si="175"/>
        <v>0</v>
      </c>
      <c r="AH152" s="124">
        <f t="shared" si="210"/>
        <v>430891.77838569693</v>
      </c>
      <c r="AI152" s="296">
        <f t="shared" si="232"/>
        <v>24542.860385570384</v>
      </c>
      <c r="AJ152" s="123">
        <f t="shared" si="233"/>
        <v>0</v>
      </c>
      <c r="AK152" s="124">
        <f t="shared" si="211"/>
        <v>30133.723981403316</v>
      </c>
      <c r="AL152" s="122">
        <f t="shared" si="176"/>
        <v>5590.8635958329323</v>
      </c>
      <c r="AM152" s="122">
        <f>IF($C$25="Ausschütter",0,IF(AL152&gt;=0,(AI152+AJ152)*$C$48*0.7))</f>
        <v>12.026001588929487</v>
      </c>
      <c r="AN152" s="122">
        <f t="shared" si="177"/>
        <v>0</v>
      </c>
      <c r="AO152" s="122">
        <f t="shared" si="212"/>
        <v>12.026001588929487</v>
      </c>
      <c r="AP152" s="122">
        <f t="shared" si="234"/>
        <v>23136.89790957699</v>
      </c>
      <c r="AQ152" s="122">
        <f>IF($C$25="AUSSCHÜTTER",0,IF(AO152*$C$46*$C$49&lt;=$C$47,0,AO152*$C$46*$C$49))</f>
        <v>0</v>
      </c>
      <c r="AR152" s="122">
        <f>IF(AO151*$C$49&gt;$C$47,(AN152)*$C$49*$C$46,IF((AO151+AN152)*$C$49&gt;$C$47,((AO151+AN152)*$C$49-$C$47)*$C$46,0))</f>
        <v>0</v>
      </c>
      <c r="AS152" s="122">
        <f t="shared" si="235"/>
        <v>0</v>
      </c>
      <c r="AT152" s="122">
        <f t="shared" si="213"/>
        <v>430891.77838569693</v>
      </c>
      <c r="AU152" s="122">
        <f t="shared" si="236"/>
        <v>0</v>
      </c>
      <c r="AV152" s="122">
        <f t="shared" si="237"/>
        <v>30133.723981403316</v>
      </c>
      <c r="AW152" s="122">
        <f t="shared" si="214"/>
        <v>0</v>
      </c>
      <c r="AX152" s="130">
        <f t="shared" si="215"/>
        <v>0</v>
      </c>
      <c r="AY152" s="82">
        <f>IF(AF152&lt;$C$11,$C$15*(1+$C$19)^(AF152-$C$10),0)</f>
        <v>0</v>
      </c>
      <c r="AZ152" s="82">
        <f>$C$14*(1+$C$37)^(AF152-$C$10)</f>
        <v>106510.10511986577</v>
      </c>
      <c r="BA152" s="165">
        <f>IF(AF152&lt;$C$11,0,MAX($C$38*AI152,AZ152))</f>
        <v>106510.10511986577</v>
      </c>
      <c r="BB152" s="82">
        <f>IF(AF152&lt;$C$11,0,MAX($C$38*AI152,AZ152))</f>
        <v>106510.10511986577</v>
      </c>
      <c r="BC152" s="136">
        <f>IF($C$39="JA",CT152,DG152)</f>
        <v>28092.040225364595</v>
      </c>
      <c r="BD152" s="82">
        <f t="shared" si="178"/>
        <v>0</v>
      </c>
      <c r="BE152" s="82">
        <f>IF(AF152&lt;($C$8+$C$30),0,$C$29*12*(1-$C$31))</f>
        <v>0</v>
      </c>
      <c r="BF152" s="82">
        <f>IF(AF152&lt;($C$8+$C$34),0,$C$33*12*(1-$C$35))</f>
        <v>0</v>
      </c>
      <c r="BG152" s="82">
        <f>IF(AF152&lt;$C$11,0,IF(AI152&lt;0,$C$42*(1+$C$44)^(AF152-$C$10),IF(((AL152+BE152+BF152)*$C$41)&lt;$C$42*(1+$C$44)^(AF152-$C$10),$C$42*(1+$C$44)^(AF152-$C$10),IF(((AL152+BE152+BF152)*$C$41)&lt;$C$43*(1+$C$44)^(AF152-$C$10),(AL152+BE152+BF152)*$C$41,IF(((AL152+BE152+BF152+BB152)*$C$41)&lt;$C$43*(1+$C$44)^(AF152-$C$10),((AL152+BE152+BF152+BB152)*$C$41),$C$43*(1+$C$44)^(AF152-$C$10))))))</f>
        <v>7010.7791056531287</v>
      </c>
      <c r="BH152" s="82">
        <f t="shared" si="238"/>
        <v>141612.9244508835</v>
      </c>
      <c r="BI152" s="242">
        <f t="shared" si="216"/>
        <v>30133.723981403316</v>
      </c>
      <c r="BJ152" s="217">
        <f t="shared" si="217"/>
        <v>-111479.20046948019</v>
      </c>
      <c r="BK152" s="118"/>
      <c r="BL152" s="219">
        <f t="shared" si="179"/>
        <v>56</v>
      </c>
      <c r="BM152" s="220">
        <f t="shared" si="180"/>
        <v>73</v>
      </c>
      <c r="BN152" s="220">
        <f t="shared" si="173"/>
        <v>0</v>
      </c>
      <c r="BO152" s="221">
        <f t="shared" si="181"/>
        <v>0</v>
      </c>
      <c r="BP152" s="221">
        <f t="shared" si="182"/>
        <v>0</v>
      </c>
      <c r="BQ152" s="222">
        <f t="shared" si="183"/>
        <v>0</v>
      </c>
      <c r="BR152" s="223">
        <f>IF(BM152&lt;$C$11-$C$10+1,0,IF(BL152&lt;=$C$13,VLOOKUP(BL152,$BN$80:$BQ$156,2,FALSE)-BS152,0))</f>
        <v>0</v>
      </c>
      <c r="BS152" s="223">
        <f>IF(BM152&lt;$C$11-$C$10+1,0,IF(BL152&lt;=$C$13,VLOOKUP(BL152,$BN$80:$BQ$156,3,FALSE),0))</f>
        <v>0</v>
      </c>
      <c r="BT152" s="222">
        <f>IF(BM152&lt;$C$11-$C$10+1,0,IF(BL152&lt;=$C$13,VLOOKUP(BL152,$BN$80:$BQ$156,4,FALSE),0))</f>
        <v>0</v>
      </c>
      <c r="BU152" s="223">
        <f t="shared" si="218"/>
        <v>0</v>
      </c>
      <c r="BV152" s="223">
        <f t="shared" si="219"/>
        <v>0</v>
      </c>
      <c r="BW152" s="223">
        <f t="shared" si="118"/>
        <v>0</v>
      </c>
      <c r="BX152" s="223">
        <f>IF(AND(BS152&lt;=0,BN152=0),MIN((MAX($BZ$80:$BZ$156)-SUM($BX$80:BX151)),CA152),IF(BS152&lt;CA152,BS152,CA152))</f>
        <v>0</v>
      </c>
      <c r="BY152" s="222">
        <f>IF(BN152&gt;0,0,IF(AND(BN152=0,BT152&lt;=0),100%,((BW151*(AVERAGE($BT$80:BT151))+(BR152*BT152))/(BR152+BW151+BS152+BV151))))</f>
        <v>1</v>
      </c>
      <c r="BZ152" s="139">
        <f t="shared" si="220"/>
        <v>430891.77838569693</v>
      </c>
      <c r="CA152" s="122">
        <f t="shared" si="184"/>
        <v>106510.10511986577</v>
      </c>
      <c r="CB152" s="181">
        <f t="shared" si="221"/>
        <v>1</v>
      </c>
      <c r="CC152" s="122">
        <f t="shared" si="222"/>
        <v>3459156.8593371306</v>
      </c>
      <c r="CD152" s="182">
        <f t="shared" si="119"/>
        <v>0</v>
      </c>
      <c r="CE152" s="122">
        <f t="shared" si="239"/>
        <v>430891.77838569693</v>
      </c>
      <c r="CF152" s="122">
        <f t="shared" si="240"/>
        <v>0</v>
      </c>
      <c r="CG152" s="122" t="str">
        <f t="shared" si="185"/>
        <v/>
      </c>
      <c r="CH152" s="140">
        <f t="shared" si="186"/>
        <v>1</v>
      </c>
      <c r="CI152" s="142">
        <f t="shared" si="241"/>
        <v>9984</v>
      </c>
      <c r="CJ152" s="134">
        <f>CI152*$C$57</f>
        <v>0</v>
      </c>
      <c r="CK152" s="142">
        <f t="shared" si="242"/>
        <v>14926</v>
      </c>
      <c r="CL152" s="134">
        <f>CK152*$C$57</f>
        <v>0</v>
      </c>
      <c r="CM152" s="142">
        <f t="shared" si="243"/>
        <v>58596</v>
      </c>
      <c r="CN152" s="134">
        <f>CM152*$C$57</f>
        <v>0</v>
      </c>
      <c r="CO152" s="132">
        <f t="shared" si="117"/>
        <v>106510.10511986577</v>
      </c>
      <c r="CP152" s="140">
        <f t="shared" si="187"/>
        <v>0.42</v>
      </c>
      <c r="CQ152" s="121" t="str">
        <f>IF($C$50="NEIN","NEIN",IF(CS152&lt;CR152,"JA","NEIN"))</f>
        <v>NEIN</v>
      </c>
      <c r="CR152" s="121">
        <f>CO152*$C$46</f>
        <v>28092.040225364595</v>
      </c>
      <c r="CS152" s="121">
        <f t="shared" si="188"/>
        <v>35466.714150343621</v>
      </c>
      <c r="CT152" s="201">
        <f>IF($C$50="NEIN",CR152,IF(CQ152="NEIN",CR152,CS152))</f>
        <v>28092.040225364595</v>
      </c>
      <c r="CU152" s="149"/>
      <c r="CV152" s="202">
        <f t="shared" si="244"/>
        <v>9984</v>
      </c>
      <c r="CW152" s="134">
        <f>CV152*$C$57</f>
        <v>0</v>
      </c>
      <c r="CX152" s="142">
        <f t="shared" si="245"/>
        <v>14926</v>
      </c>
      <c r="CY152" s="134">
        <f>CX152*$C$57</f>
        <v>0</v>
      </c>
      <c r="CZ152" s="142">
        <f t="shared" si="246"/>
        <v>58596</v>
      </c>
      <c r="DA152" s="143">
        <f>CZ152*$C$57</f>
        <v>0</v>
      </c>
      <c r="DB152" s="165">
        <f t="shared" si="120"/>
        <v>106510.10511986577</v>
      </c>
      <c r="DC152" s="140">
        <f t="shared" si="189"/>
        <v>0.42</v>
      </c>
      <c r="DD152" s="121" t="str">
        <f>IF($C$50="NEIN","NEIN",IF(DF152&lt;DE152,"JA","NEIN"))</f>
        <v>NEIN</v>
      </c>
      <c r="DE152" s="121">
        <f>DB152*$C$46</f>
        <v>28092.040225364595</v>
      </c>
      <c r="DF152" s="121">
        <f t="shared" si="190"/>
        <v>35466.714150343621</v>
      </c>
      <c r="DG152" s="201">
        <f>IF($C$50="NEIN",DE152,IF(DD152="NEIN",DE152,DF152))</f>
        <v>28092.040225364595</v>
      </c>
      <c r="DH152" s="159"/>
      <c r="DI152" s="74"/>
      <c r="DJ152" s="74"/>
      <c r="DK152" s="128"/>
      <c r="DL152" s="128"/>
      <c r="DM152" s="128"/>
      <c r="DN152" s="74"/>
      <c r="DO152" s="28">
        <f t="shared" si="247"/>
        <v>2093</v>
      </c>
      <c r="DP152" s="17">
        <f>IF($C$13+$C$10&gt;=DO152,-AG152,IF(DO152=$C$13+$C$10+1,$EK$93,0))</f>
        <v>0</v>
      </c>
      <c r="DQ152" s="17">
        <f t="shared" si="248"/>
        <v>7502933.6321878107</v>
      </c>
      <c r="DR152" s="17">
        <f t="shared" si="249"/>
        <v>26713643.093557727</v>
      </c>
      <c r="DS152" s="17">
        <f t="shared" si="223"/>
        <v>444734.46247264557</v>
      </c>
      <c r="DT152" s="17">
        <f t="shared" si="191"/>
        <v>29059463.984952498</v>
      </c>
      <c r="DU152" s="17">
        <f t="shared" si="250"/>
        <v>1901086.4289221279</v>
      </c>
      <c r="DV152" s="33">
        <f t="shared" si="192"/>
        <v>13307.60500245488</v>
      </c>
      <c r="DW152" s="32">
        <f t="shared" si="193"/>
        <v>581189.27969905001</v>
      </c>
      <c r="DX152" s="17">
        <f t="shared" si="251"/>
        <v>0</v>
      </c>
      <c r="DY152" s="17">
        <f t="shared" si="252"/>
        <v>0</v>
      </c>
      <c r="DZ152" s="17">
        <f t="shared" si="194"/>
        <v>0</v>
      </c>
      <c r="EA152" s="17">
        <f t="shared" si="224"/>
        <v>107090.8070144371</v>
      </c>
      <c r="EB152" s="15">
        <f t="shared" si="225"/>
        <v>474098.47268461291</v>
      </c>
      <c r="EC152" s="15">
        <f>IF(DP152=0,EC151,IF(DO152&lt;=$EK$88+$C$10,ABS(DP152)+EC151,EC151))</f>
        <v>430891.77838569693</v>
      </c>
      <c r="ED152" s="15">
        <f t="shared" si="253"/>
        <v>1689915.2077438131</v>
      </c>
      <c r="EE152" s="16">
        <f t="shared" si="254"/>
        <v>29059463.984952498</v>
      </c>
      <c r="EF152" s="15">
        <f t="shared" si="195"/>
        <v>444734.46247264557</v>
      </c>
      <c r="EG152" s="15">
        <f t="shared" si="255"/>
        <v>7072041.8538021119</v>
      </c>
      <c r="EH152" s="16"/>
      <c r="EI152" s="16"/>
      <c r="EJ152"/>
      <c r="EK152"/>
      <c r="EL152"/>
      <c r="EM152" s="28">
        <f t="shared" si="256"/>
        <v>2093</v>
      </c>
      <c r="EN152" s="29">
        <f>IF($C$13+$C$10&gt;=EM152,-(AG152),IF(EM152=$C$13+$C$10+1,$FB$93,0))</f>
        <v>0</v>
      </c>
      <c r="EO152" s="30">
        <f t="shared" si="257"/>
        <v>398939.70263557922</v>
      </c>
      <c r="EP152" s="30">
        <f t="shared" si="258"/>
        <v>34152226.559921026</v>
      </c>
      <c r="EQ152" s="30">
        <f t="shared" si="226"/>
        <v>-2887.4989402116398</v>
      </c>
      <c r="ER152" s="25">
        <f t="shared" si="196"/>
        <v>36539792.79524947</v>
      </c>
      <c r="ES152" s="30">
        <f t="shared" si="259"/>
        <v>2390453.7342686579</v>
      </c>
      <c r="ET152" s="26">
        <f t="shared" si="197"/>
        <v>16733.176139880594</v>
      </c>
      <c r="EU152" s="30">
        <f t="shared" si="260"/>
        <v>16733.176139880594</v>
      </c>
      <c r="EV152" s="25">
        <f t="shared" si="198"/>
        <v>3089.3626448254545</v>
      </c>
      <c r="EW152" s="31">
        <f t="shared" si="261"/>
        <v>252985.97164829689</v>
      </c>
      <c r="EX152" s="27">
        <f>IF(EM152=0,EX151,IF(EM152&lt;=$FB$88+$C$10,ABS(EN152)+EX151,EX151))</f>
        <v>430891.77838569693</v>
      </c>
      <c r="EY152" s="15"/>
      <c r="EZ152"/>
      <c r="FA152"/>
      <c r="FB152"/>
      <c r="FC152" s="74"/>
      <c r="FD152" s="74"/>
      <c r="FE152" s="74"/>
      <c r="FF152" s="74"/>
      <c r="FG152" s="74"/>
      <c r="FH152" s="74"/>
      <c r="FI152" s="74"/>
      <c r="FJ152" s="28">
        <f t="shared" si="262"/>
        <v>2093</v>
      </c>
      <c r="FK152" s="65">
        <f>IF($C$13+$C$10&gt;=FJ152,-AG152,IF(FJ152=$C$13+$C$10+1,$EK$93,0))</f>
        <v>0</v>
      </c>
      <c r="FL152" s="65">
        <f t="shared" si="263"/>
        <v>74118.803999999975</v>
      </c>
      <c r="FM152" s="65">
        <f t="shared" si="264"/>
        <v>2153563.6068983125</v>
      </c>
      <c r="FN152" s="65">
        <f t="shared" si="227"/>
        <v>0</v>
      </c>
      <c r="FO152" s="65">
        <f t="shared" si="199"/>
        <v>2304313.0593811944</v>
      </c>
      <c r="FP152" s="65">
        <f t="shared" si="265"/>
        <v>150749.45248288196</v>
      </c>
      <c r="FQ152" s="59">
        <f t="shared" si="200"/>
        <v>1055.2461673801729</v>
      </c>
      <c r="FR152" s="60">
        <f t="shared" si="201"/>
        <v>46086.261187623888</v>
      </c>
      <c r="FS152" s="65">
        <f t="shared" si="266"/>
        <v>0</v>
      </c>
      <c r="FT152" s="65">
        <f t="shared" si="267"/>
        <v>0</v>
      </c>
      <c r="FU152" s="65">
        <f t="shared" si="202"/>
        <v>0</v>
      </c>
      <c r="FV152" s="65">
        <f t="shared" si="228"/>
        <v>8297.4122217650583</v>
      </c>
      <c r="FW152" s="61">
        <f t="shared" si="229"/>
        <v>37788.84896585883</v>
      </c>
      <c r="FX152" s="61">
        <f>IF(AND(FJ152&lt;=$GF$88+$C$10,FV151&lt;=0,FN152&gt;0),(FJ152-$C$10+1)*AG152+$GF$80,FX151)</f>
        <v>73074.599999999977</v>
      </c>
      <c r="FY152" s="62">
        <f t="shared" si="230"/>
        <v>39.275134620894782</v>
      </c>
      <c r="FZ152" s="63">
        <f t="shared" si="268"/>
        <v>2304313.0593811944</v>
      </c>
      <c r="GA152" s="64">
        <f t="shared" si="269"/>
        <v>43950.277691802301</v>
      </c>
      <c r="GB152" s="64">
        <f t="shared" si="270"/>
        <v>915640.30415686942</v>
      </c>
      <c r="GC152" s="66">
        <f t="shared" si="203"/>
        <v>0</v>
      </c>
      <c r="GD152" s="64">
        <f t="shared" si="271"/>
        <v>1580.6039999999994</v>
      </c>
      <c r="GE152"/>
      <c r="GF152"/>
      <c r="GG152" s="74"/>
      <c r="GH152" s="74"/>
      <c r="GI152" s="28">
        <f t="shared" si="272"/>
        <v>2093</v>
      </c>
      <c r="GJ152" s="9">
        <f>IF($GX$88+$C$10&gt;=GI152,-AG152,IF(GI152=$GX$88+$C$10+1,$FB$93,0))</f>
        <v>0</v>
      </c>
      <c r="GK152" s="5">
        <f t="shared" si="273"/>
        <v>1079779.177119764</v>
      </c>
      <c r="GL152" s="5">
        <f t="shared" si="274"/>
        <v>30963588.88424544</v>
      </c>
      <c r="GM152" s="35">
        <f t="shared" si="231"/>
        <v>33429.315093140802</v>
      </c>
      <c r="GN152" s="4">
        <f t="shared" si="204"/>
        <v>33166809.473292284</v>
      </c>
      <c r="GO152" s="5">
        <f t="shared" si="275"/>
        <v>2169791.2739537023</v>
      </c>
      <c r="GP152" s="5">
        <f t="shared" si="205"/>
        <v>15188.538917675902</v>
      </c>
      <c r="GQ152" s="5">
        <f t="shared" si="276"/>
        <v>15188.538917675902</v>
      </c>
      <c r="GR152" s="4">
        <f t="shared" si="206"/>
        <v>2804.1839976759129</v>
      </c>
      <c r="GS152" s="7">
        <f t="shared" si="277"/>
        <v>224609.21207320743</v>
      </c>
      <c r="GT152" s="107" t="e">
        <f>IF($DG$62=0,EX152,IF(GI152-$C$10+1&lt;=$GF$98,0,#REF!-FX152))</f>
        <v>#REF!</v>
      </c>
      <c r="GU152"/>
      <c r="GV152"/>
      <c r="GW152"/>
      <c r="GX152"/>
      <c r="GY152" s="74"/>
      <c r="GZ152" s="74"/>
      <c r="HA152" s="74"/>
      <c r="HB152" s="74"/>
      <c r="HC152" s="74"/>
      <c r="HD152" s="74"/>
    </row>
    <row r="153" spans="2:212" ht="16.149999999999999" thickBot="1" x14ac:dyDescent="0.55000000000000004">
      <c r="B153" s="333"/>
      <c r="C153" s="75"/>
      <c r="D153" s="75"/>
      <c r="F153" s="75"/>
      <c r="G153" s="75"/>
      <c r="H153" s="75"/>
      <c r="I153" s="75"/>
      <c r="J153" s="75"/>
      <c r="K153" s="75"/>
      <c r="L153" s="75"/>
      <c r="M153" s="75"/>
      <c r="O153" s="75"/>
      <c r="P153" s="75"/>
      <c r="Q153" s="75"/>
      <c r="R153" s="75"/>
      <c r="S153" s="290"/>
      <c r="T153" s="291"/>
      <c r="U153" s="291"/>
      <c r="V153" s="292"/>
      <c r="W153" s="292"/>
      <c r="AB153" s="117">
        <f t="shared" si="207"/>
        <v>101</v>
      </c>
      <c r="AC153" s="117">
        <f t="shared" si="208"/>
        <v>2094</v>
      </c>
      <c r="AD153" s="299">
        <f>IF($C$20="NEIN",$C$21,IF($C$22="JA",'HISTORISCHE RENDITEN'!E77,'HISTORISCHE RENDITEN'!D77))</f>
        <v>0.23559999999999998</v>
      </c>
      <c r="AE153" s="129">
        <f t="shared" si="278"/>
        <v>101</v>
      </c>
      <c r="AF153" s="120">
        <f t="shared" si="209"/>
        <v>2094</v>
      </c>
      <c r="AG153" s="122">
        <f t="shared" si="175"/>
        <v>0</v>
      </c>
      <c r="AH153" s="124">
        <f t="shared" si="210"/>
        <v>430891.77838569693</v>
      </c>
      <c r="AI153" s="296">
        <f t="shared" si="232"/>
        <v>-111479.20046948019</v>
      </c>
      <c r="AJ153" s="123">
        <f t="shared" si="233"/>
        <v>0</v>
      </c>
      <c r="AK153" s="124">
        <f t="shared" si="211"/>
        <v>-137743.70010008971</v>
      </c>
      <c r="AL153" s="122">
        <f t="shared" si="176"/>
        <v>-26264.499630609527</v>
      </c>
      <c r="AM153" s="122" t="b">
        <f>IF($C$25="Ausschütter",0,IF(AL153&gt;=0,(AI153+AJ153)*$C$48*0.7))</f>
        <v>0</v>
      </c>
      <c r="AN153" s="122">
        <f t="shared" si="177"/>
        <v>0</v>
      </c>
      <c r="AO153" s="122">
        <f t="shared" si="212"/>
        <v>0</v>
      </c>
      <c r="AP153" s="122">
        <f t="shared" si="234"/>
        <v>23136.89790957699</v>
      </c>
      <c r="AQ153" s="122">
        <f>IF($C$25="AUSSCHÜTTER",0,IF(AO153*$C$46*$C$49&lt;=$C$47,0,AO153*$C$46*$C$49))</f>
        <v>0</v>
      </c>
      <c r="AR153" s="122">
        <f>IF(AO152*$C$49&gt;$C$47,(AN153)*$C$49*$C$46,IF((AO152+AN153)*$C$49&gt;$C$47,((AO152+AN153)*$C$49-$C$47)*$C$46,0))</f>
        <v>0</v>
      </c>
      <c r="AS153" s="122">
        <f t="shared" si="235"/>
        <v>0</v>
      </c>
      <c r="AT153" s="122">
        <f t="shared" si="213"/>
        <v>430891.77838569693</v>
      </c>
      <c r="AU153" s="122">
        <f t="shared" si="236"/>
        <v>0</v>
      </c>
      <c r="AV153" s="122">
        <f t="shared" si="237"/>
        <v>-137743.70010008971</v>
      </c>
      <c r="AW153" s="122">
        <f t="shared" si="214"/>
        <v>0</v>
      </c>
      <c r="AX153" s="130">
        <f t="shared" si="215"/>
        <v>0</v>
      </c>
      <c r="AY153" s="82">
        <f>IF(AF153&lt;$C$11,$C$15*(1+$C$19)^(AF153-$C$10),0)</f>
        <v>0</v>
      </c>
      <c r="AZ153" s="82">
        <f>$C$14*(1+$C$37)^(AF153-$C$10)</f>
        <v>109172.85774786239</v>
      </c>
      <c r="BA153" s="165">
        <f>IF(AF153&lt;$C$11,0,MAX($C$38*AI153,AZ153))</f>
        <v>109172.85774786239</v>
      </c>
      <c r="BB153" s="82">
        <f>IF(AF153&lt;$C$11,0,MAX($C$38*AI153,AZ153))</f>
        <v>109172.85774786239</v>
      </c>
      <c r="BC153" s="136">
        <f>IF($C$39="JA",CT153,DG153)</f>
        <v>28794.341230998703</v>
      </c>
      <c r="BD153" s="82">
        <f t="shared" si="178"/>
        <v>0</v>
      </c>
      <c r="BE153" s="82">
        <f>IF(AF153&lt;($C$8+$C$30),0,$C$29*12*(1-$C$31))</f>
        <v>0</v>
      </c>
      <c r="BF153" s="82">
        <f>IF(AF153&lt;($C$8+$C$34),0,$C$33*12*(1-$C$35))</f>
        <v>0</v>
      </c>
      <c r="BG153" s="82">
        <f>IF(AF153&lt;$C$11,0,IF(AI153&lt;0,$C$42*(1+$C$44)^(AF153-$C$10),IF(((AL153+BE153+BF153)*$C$41)&lt;$C$42*(1+$C$44)^(AF153-$C$10),$C$42*(1+$C$44)^(AF153-$C$10),IF(((AL153+BE153+BF153)*$C$41)&lt;$C$43*(1+$C$44)^(AF153-$C$10),(AL153+BE153+BF153)*$C$41,IF(((AL153+BE153+BF153+BB153)*$C$41)&lt;$C$43*(1+$C$44)^(AF153-$C$10),((AL153+BE153+BF153+BB153)*$C$41),$C$43*(1+$C$44)^(AF153-$C$10))))))</f>
        <v>7115.9407922379251</v>
      </c>
      <c r="BH153" s="82">
        <f t="shared" si="238"/>
        <v>145083.13977109903</v>
      </c>
      <c r="BI153" s="242">
        <f t="shared" si="216"/>
        <v>-137743.70010008971</v>
      </c>
      <c r="BJ153" s="217">
        <f t="shared" si="217"/>
        <v>-282826.83987118874</v>
      </c>
      <c r="BK153" s="118"/>
      <c r="BL153" s="219">
        <f t="shared" si="179"/>
        <v>57</v>
      </c>
      <c r="BM153" s="220">
        <f t="shared" si="180"/>
        <v>74</v>
      </c>
      <c r="BN153" s="220">
        <f t="shared" si="173"/>
        <v>0</v>
      </c>
      <c r="BO153" s="221">
        <f t="shared" si="181"/>
        <v>0</v>
      </c>
      <c r="BP153" s="221">
        <f t="shared" si="182"/>
        <v>0</v>
      </c>
      <c r="BQ153" s="222">
        <f t="shared" si="183"/>
        <v>0</v>
      </c>
      <c r="BR153" s="223">
        <f>IF(BM153&lt;$C$11-$C$10+1,0,IF(BL153&lt;=$C$13,VLOOKUP(BL153,$BN$80:$BQ$156,2,FALSE)-BS153,0))</f>
        <v>0</v>
      </c>
      <c r="BS153" s="223">
        <f>IF(BM153&lt;$C$11-$C$10+1,0,IF(BL153&lt;=$C$13,VLOOKUP(BL153,$BN$80:$BQ$156,3,FALSE),0))</f>
        <v>0</v>
      </c>
      <c r="BT153" s="222">
        <f>IF(BM153&lt;$C$11-$C$10+1,0,IF(BL153&lt;=$C$13,VLOOKUP(BL153,$BN$80:$BQ$156,4,FALSE),0))</f>
        <v>0</v>
      </c>
      <c r="BU153" s="223">
        <f t="shared" si="218"/>
        <v>0</v>
      </c>
      <c r="BV153" s="223">
        <f t="shared" si="219"/>
        <v>0</v>
      </c>
      <c r="BW153" s="223">
        <f t="shared" si="118"/>
        <v>0</v>
      </c>
      <c r="BX153" s="223">
        <f>IF(AND(BS153&lt;=0,BN153=0),MIN((MAX($BZ$80:$BZ$156)-SUM($BX$80:BX152)),CA153),IF(BS153&lt;CA153,BS153,CA153))</f>
        <v>0</v>
      </c>
      <c r="BY153" s="222">
        <f>IF(BN153&gt;0,0,IF(AND(BN153=0,BT153&lt;=0),100%,((BW152*(AVERAGE($BT$80:BT152))+(BR153*BT153))/(BR153+BW152+BS153+BV152))))</f>
        <v>1</v>
      </c>
      <c r="BZ153" s="139">
        <f t="shared" si="220"/>
        <v>430891.77838569693</v>
      </c>
      <c r="CA153" s="122">
        <f t="shared" si="184"/>
        <v>109172.85774786239</v>
      </c>
      <c r="CB153" s="181">
        <f t="shared" si="221"/>
        <v>1</v>
      </c>
      <c r="CC153" s="122">
        <f t="shared" si="222"/>
        <v>3568329.7170849931</v>
      </c>
      <c r="CD153" s="182">
        <f t="shared" si="119"/>
        <v>0</v>
      </c>
      <c r="CE153" s="122">
        <f t="shared" si="239"/>
        <v>430891.77838569693</v>
      </c>
      <c r="CF153" s="122">
        <f t="shared" si="240"/>
        <v>0</v>
      </c>
      <c r="CG153" s="122" t="str">
        <f t="shared" si="185"/>
        <v/>
      </c>
      <c r="CH153" s="140">
        <f t="shared" si="186"/>
        <v>1</v>
      </c>
      <c r="CI153" s="142">
        <f t="shared" si="241"/>
        <v>9984</v>
      </c>
      <c r="CJ153" s="134">
        <f>CI153*$C$57</f>
        <v>0</v>
      </c>
      <c r="CK153" s="142">
        <f t="shared" si="242"/>
        <v>14926</v>
      </c>
      <c r="CL153" s="134">
        <f>CK153*$C$57</f>
        <v>0</v>
      </c>
      <c r="CM153" s="142">
        <f t="shared" si="243"/>
        <v>58596</v>
      </c>
      <c r="CN153" s="134">
        <f>CM153*$C$57</f>
        <v>0</v>
      </c>
      <c r="CO153" s="132">
        <f t="shared" ref="CO153:CO155" si="279">CA153*CH153</f>
        <v>109172.85774786239</v>
      </c>
      <c r="CP153" s="140">
        <f t="shared" si="187"/>
        <v>0.42</v>
      </c>
      <c r="CQ153" s="121" t="str">
        <f>IF($C$50="NEIN","NEIN",IF(CS153&lt;CR153,"JA","NEIN"))</f>
        <v>NEIN</v>
      </c>
      <c r="CR153" s="121">
        <f>CO153*$C$46</f>
        <v>28794.341230998703</v>
      </c>
      <c r="CS153" s="121">
        <f t="shared" si="188"/>
        <v>36585.070254102204</v>
      </c>
      <c r="CT153" s="201">
        <f>IF($C$50="NEIN",CR153,IF(CQ153="NEIN",CR153,CS153))</f>
        <v>28794.341230998703</v>
      </c>
      <c r="CU153" s="149"/>
      <c r="CV153" s="202">
        <f t="shared" si="244"/>
        <v>9984</v>
      </c>
      <c r="CW153" s="134">
        <f>CV153*$C$57</f>
        <v>0</v>
      </c>
      <c r="CX153" s="142">
        <f t="shared" si="245"/>
        <v>14926</v>
      </c>
      <c r="CY153" s="134">
        <f>CX153*$C$57</f>
        <v>0</v>
      </c>
      <c r="CZ153" s="142">
        <f t="shared" si="246"/>
        <v>58596</v>
      </c>
      <c r="DA153" s="143">
        <f>CZ153*$C$57</f>
        <v>0</v>
      </c>
      <c r="DB153" s="165">
        <f t="shared" si="120"/>
        <v>109172.85774786239</v>
      </c>
      <c r="DC153" s="140">
        <f t="shared" si="189"/>
        <v>0.42</v>
      </c>
      <c r="DD153" s="121" t="str">
        <f>IF($C$50="NEIN","NEIN",IF(DF153&lt;DE153,"JA","NEIN"))</f>
        <v>NEIN</v>
      </c>
      <c r="DE153" s="121">
        <f>DB153*$C$46</f>
        <v>28794.341230998703</v>
      </c>
      <c r="DF153" s="121">
        <f t="shared" si="190"/>
        <v>36585.070254102204</v>
      </c>
      <c r="DG153" s="201">
        <f>IF($C$50="NEIN",DE153,IF(DD153="NEIN",DE153,DF153))</f>
        <v>28794.341230998703</v>
      </c>
      <c r="DH153" s="159"/>
      <c r="DI153" s="74"/>
      <c r="DJ153" s="74"/>
      <c r="DK153" s="128"/>
      <c r="DL153" s="128"/>
      <c r="DM153" s="128"/>
      <c r="DN153" s="74"/>
      <c r="DO153" s="28">
        <f t="shared" si="247"/>
        <v>2094</v>
      </c>
      <c r="DP153" s="17">
        <f>IF($C$13+$C$10&gt;=DO153,-AG153,IF(DO153=$C$13+$C$10+1,$EK$93,0))</f>
        <v>0</v>
      </c>
      <c r="DQ153" s="17">
        <f t="shared" si="248"/>
        <v>7977032.1048724232</v>
      </c>
      <c r="DR153" s="17">
        <f t="shared" si="249"/>
        <v>28478274.705253448</v>
      </c>
      <c r="DS153" s="17">
        <f t="shared" si="223"/>
        <v>474098.47268461291</v>
      </c>
      <c r="DT153" s="17">
        <f t="shared" si="191"/>
        <v>30979039.30039373</v>
      </c>
      <c r="DU153" s="17">
        <f t="shared" si="250"/>
        <v>2026666.1224556677</v>
      </c>
      <c r="DV153" s="33">
        <f t="shared" si="192"/>
        <v>14186.662857189649</v>
      </c>
      <c r="DW153" s="32">
        <f t="shared" si="193"/>
        <v>619580.78600787465</v>
      </c>
      <c r="DX153" s="17">
        <f t="shared" si="251"/>
        <v>0</v>
      </c>
      <c r="DY153" s="17">
        <f t="shared" si="252"/>
        <v>0</v>
      </c>
      <c r="DZ153" s="17">
        <f t="shared" si="194"/>
        <v>0</v>
      </c>
      <c r="EA153" s="17">
        <f t="shared" si="224"/>
        <v>114178.83886670384</v>
      </c>
      <c r="EB153" s="15">
        <f t="shared" si="225"/>
        <v>505401.94714117079</v>
      </c>
      <c r="EC153" s="15">
        <f>IF(DP153=0,EC152,IF(DO153&lt;=$EK$88+$C$10,ABS(DP153)+EC152,EC152))</f>
        <v>430891.77838569693</v>
      </c>
      <c r="ED153" s="15">
        <f t="shared" si="253"/>
        <v>1804094.046610517</v>
      </c>
      <c r="EE153" s="16">
        <f t="shared" si="254"/>
        <v>30979039.30039373</v>
      </c>
      <c r="EF153" s="15">
        <f t="shared" si="195"/>
        <v>474098.47268461291</v>
      </c>
      <c r="EG153" s="15">
        <f t="shared" si="255"/>
        <v>7546140.3264867244</v>
      </c>
      <c r="EH153" s="16"/>
      <c r="EI153" s="16"/>
      <c r="EJ153"/>
      <c r="EK153"/>
      <c r="EL153"/>
      <c r="EM153" s="28">
        <f t="shared" si="256"/>
        <v>2094</v>
      </c>
      <c r="EN153" s="29">
        <f>IF($C$13+$C$10&gt;=EM153,-(AG153),IF(EM153=$C$13+$C$10+1,$FB$93,0))</f>
        <v>0</v>
      </c>
      <c r="EO153" s="30">
        <f t="shared" si="257"/>
        <v>395850.33999075374</v>
      </c>
      <c r="EP153" s="30">
        <f t="shared" si="258"/>
        <v>36539792.79524947</v>
      </c>
      <c r="EQ153" s="30">
        <f t="shared" si="226"/>
        <v>-3089.3626448254545</v>
      </c>
      <c r="ER153" s="25">
        <f t="shared" si="196"/>
        <v>39094272.672886968</v>
      </c>
      <c r="ES153" s="30">
        <f t="shared" si="259"/>
        <v>2557569.2402823269</v>
      </c>
      <c r="ET153" s="26">
        <f t="shared" si="197"/>
        <v>17902.984681976275</v>
      </c>
      <c r="EU153" s="30">
        <f t="shared" si="260"/>
        <v>17902.984681976275</v>
      </c>
      <c r="EV153" s="25">
        <f t="shared" si="198"/>
        <v>3305.3385469098694</v>
      </c>
      <c r="EW153" s="31">
        <f t="shared" si="261"/>
        <v>270888.95633027318</v>
      </c>
      <c r="EX153" s="27">
        <f>IF(EM153=0,EX152,IF(EM153&lt;=$FB$88+$C$10,ABS(EN153)+EX152,EX152))</f>
        <v>430891.77838569693</v>
      </c>
      <c r="EY153" s="15"/>
      <c r="EZ153"/>
      <c r="FA153"/>
      <c r="FB153"/>
      <c r="FC153" s="74"/>
      <c r="FD153" s="74"/>
      <c r="FE153" s="74"/>
      <c r="FF153" s="74"/>
      <c r="FG153" s="74"/>
      <c r="FH153" s="74"/>
      <c r="FI153" s="74"/>
      <c r="FJ153" s="28">
        <f t="shared" si="262"/>
        <v>2094</v>
      </c>
      <c r="FK153" s="65">
        <f>IF($C$13+$C$10&gt;=FJ153,-AG153,IF(FJ153=$C$13+$C$10+1,$EK$93,0))</f>
        <v>0</v>
      </c>
      <c r="FL153" s="65">
        <f t="shared" si="263"/>
        <v>74118.803999999975</v>
      </c>
      <c r="FM153" s="65">
        <f t="shared" si="264"/>
        <v>2258226.7981935707</v>
      </c>
      <c r="FN153" s="65">
        <f t="shared" si="227"/>
        <v>0</v>
      </c>
      <c r="FO153" s="65">
        <f t="shared" si="199"/>
        <v>2416302.674067121</v>
      </c>
      <c r="FP153" s="65">
        <f t="shared" si="265"/>
        <v>158075.87587355031</v>
      </c>
      <c r="FQ153" s="59">
        <f t="shared" si="200"/>
        <v>1106.5311311148496</v>
      </c>
      <c r="FR153" s="60">
        <f t="shared" si="201"/>
        <v>48326.053481342424</v>
      </c>
      <c r="FS153" s="65">
        <f t="shared" si="266"/>
        <v>0</v>
      </c>
      <c r="FT153" s="65">
        <f t="shared" si="267"/>
        <v>0</v>
      </c>
      <c r="FU153" s="65">
        <f t="shared" si="202"/>
        <v>0</v>
      </c>
      <c r="FV153" s="65">
        <f t="shared" si="228"/>
        <v>8710.9338739928444</v>
      </c>
      <c r="FW153" s="61">
        <f t="shared" si="229"/>
        <v>39615.119607349581</v>
      </c>
      <c r="FX153" s="61">
        <f>IF(AND(FJ153&lt;=$GF$88+$C$10,FV152&lt;=0,FN153&gt;0),(FJ153-$C$10+1)*AG153+$GF$80,FX152)</f>
        <v>73074.599999999977</v>
      </c>
      <c r="FY153" s="62">
        <f t="shared" si="230"/>
        <v>41.232506163470276</v>
      </c>
      <c r="FZ153" s="63">
        <f t="shared" si="268"/>
        <v>2416302.674067121</v>
      </c>
      <c r="GA153" s="64">
        <f t="shared" si="269"/>
        <v>46086.261187623888</v>
      </c>
      <c r="GB153" s="64">
        <f t="shared" si="270"/>
        <v>961726.56534449325</v>
      </c>
      <c r="GC153" s="66">
        <f t="shared" si="203"/>
        <v>0</v>
      </c>
      <c r="GD153" s="64">
        <f t="shared" si="271"/>
        <v>1580.6039999999994</v>
      </c>
      <c r="GE153"/>
      <c r="GF153"/>
      <c r="GG153" s="74"/>
      <c r="GH153" s="74"/>
      <c r="GI153" s="28">
        <f t="shared" si="272"/>
        <v>2094</v>
      </c>
      <c r="GJ153" s="9">
        <f>IF($GX$88+$C$10&gt;=GI153,-AG153,IF(GI153=$GX$88+$C$10+1,$FB$93,0))</f>
        <v>0</v>
      </c>
      <c r="GK153" s="5">
        <f t="shared" si="273"/>
        <v>1114763.8420879468</v>
      </c>
      <c r="GL153" s="5">
        <f t="shared" si="274"/>
        <v>33166809.473292284</v>
      </c>
      <c r="GM153" s="35">
        <f t="shared" si="231"/>
        <v>34984.664968182915</v>
      </c>
      <c r="GN153" s="4">
        <f t="shared" si="204"/>
        <v>35525919.727938697</v>
      </c>
      <c r="GO153" s="5">
        <f t="shared" si="275"/>
        <v>2324125.5896782316</v>
      </c>
      <c r="GP153" s="5">
        <f t="shared" si="205"/>
        <v>16268.879127747627</v>
      </c>
      <c r="GQ153" s="5">
        <f t="shared" si="276"/>
        <v>16268.879127747627</v>
      </c>
      <c r="GR153" s="4">
        <f t="shared" si="206"/>
        <v>3003.6418089604053</v>
      </c>
      <c r="GS153" s="7">
        <f t="shared" si="277"/>
        <v>240878.09120095504</v>
      </c>
      <c r="GT153" s="107" t="e">
        <f>IF($DG$62=0,EX153,IF(GI153-$C$10+1&lt;=$GF$98,0,#REF!-FX153))</f>
        <v>#REF!</v>
      </c>
      <c r="GU153"/>
      <c r="GV153"/>
      <c r="GW153"/>
      <c r="GX153"/>
      <c r="GY153" s="74"/>
      <c r="GZ153" s="74"/>
      <c r="HA153" s="74"/>
      <c r="HB153" s="74"/>
      <c r="HC153" s="74"/>
      <c r="HD153" s="74"/>
    </row>
    <row r="154" spans="2:212" ht="16.149999999999999" thickBot="1" x14ac:dyDescent="0.55000000000000004">
      <c r="B154" s="333"/>
      <c r="C154" s="75"/>
      <c r="D154" s="75"/>
      <c r="F154" s="75"/>
      <c r="G154" s="75"/>
      <c r="H154" s="75"/>
      <c r="I154" s="75"/>
      <c r="J154" s="75"/>
      <c r="K154" s="75"/>
      <c r="L154" s="75"/>
      <c r="M154" s="75"/>
      <c r="O154" s="75"/>
      <c r="P154" s="75"/>
      <c r="Q154" s="75"/>
      <c r="R154" s="75"/>
      <c r="S154" s="290"/>
      <c r="T154" s="291"/>
      <c r="U154" s="291"/>
      <c r="V154" s="292"/>
      <c r="W154" s="292"/>
      <c r="AB154" s="117">
        <f t="shared" si="207"/>
        <v>102</v>
      </c>
      <c r="AC154" s="117">
        <f t="shared" si="208"/>
        <v>2095</v>
      </c>
      <c r="AD154" s="299">
        <f>IF($C$20="NEIN",$C$21,IF($C$22="JA",'HISTORISCHE RENDITEN'!E78,'HISTORISCHE RENDITEN'!D78))</f>
        <v>-0.14050000000000001</v>
      </c>
      <c r="AE154" s="129">
        <f t="shared" si="278"/>
        <v>102</v>
      </c>
      <c r="AF154" s="120">
        <f t="shared" si="209"/>
        <v>2095</v>
      </c>
      <c r="AG154" s="122">
        <f t="shared" si="175"/>
        <v>0</v>
      </c>
      <c r="AH154" s="124">
        <f t="shared" si="210"/>
        <v>430891.77838569693</v>
      </c>
      <c r="AI154" s="296">
        <f t="shared" si="232"/>
        <v>-282826.83987118874</v>
      </c>
      <c r="AJ154" s="123">
        <f t="shared" si="233"/>
        <v>0</v>
      </c>
      <c r="AK154" s="124">
        <f t="shared" si="211"/>
        <v>-243089.66886928672</v>
      </c>
      <c r="AL154" s="122">
        <f t="shared" si="176"/>
        <v>39737.171001902025</v>
      </c>
      <c r="AM154" s="122">
        <f>IF($C$25="Ausschütter",0,IF(AL154&gt;=0,(AI154+AJ154)*$C$48*0.7))</f>
        <v>-138.58515153688248</v>
      </c>
      <c r="AN154" s="122">
        <f t="shared" si="177"/>
        <v>0</v>
      </c>
      <c r="AO154" s="122">
        <f t="shared" si="212"/>
        <v>-138.58515153688248</v>
      </c>
      <c r="AP154" s="122">
        <f t="shared" si="234"/>
        <v>22998.312758040109</v>
      </c>
      <c r="AQ154" s="122">
        <f>IF($C$25="AUSSCHÜTTER",0,IF(AO154*$C$46*$C$49&lt;=$C$47,0,AO154*$C$46*$C$49))</f>
        <v>0</v>
      </c>
      <c r="AR154" s="122">
        <f>IF(AO153*$C$49&gt;$C$47,(AN154)*$C$49*$C$46,IF((AO153+AN154)*$C$49&gt;$C$47,((AO153+AN154)*$C$49-$C$47)*$C$46,0))</f>
        <v>0</v>
      </c>
      <c r="AS154" s="122">
        <f t="shared" si="235"/>
        <v>0</v>
      </c>
      <c r="AT154" s="122">
        <f t="shared" si="213"/>
        <v>430891.77838569693</v>
      </c>
      <c r="AU154" s="122">
        <f t="shared" si="236"/>
        <v>0</v>
      </c>
      <c r="AV154" s="122">
        <f t="shared" si="237"/>
        <v>-243089.66886928672</v>
      </c>
      <c r="AW154" s="122">
        <f t="shared" si="214"/>
        <v>0</v>
      </c>
      <c r="AX154" s="130">
        <f t="shared" si="215"/>
        <v>0</v>
      </c>
      <c r="AY154" s="82">
        <f>IF(AF154&lt;$C$11,$C$15*(1+$C$19)^(AF154-$C$10),0)</f>
        <v>0</v>
      </c>
      <c r="AZ154" s="82">
        <f>$C$14*(1+$C$37)^(AF154-$C$10)</f>
        <v>111902.17919155896</v>
      </c>
      <c r="BA154" s="165">
        <f>IF(AF154&lt;$C$11,0,MAX($C$38*AI154,AZ154))</f>
        <v>111902.17919155896</v>
      </c>
      <c r="BB154" s="82">
        <f>IF(AF154&lt;$C$11,0,MAX($C$38*AI154,AZ154))</f>
        <v>111902.17919155896</v>
      </c>
      <c r="BC154" s="136">
        <f>IF($C$39="JA",CT154,DG154)</f>
        <v>29514.199761773674</v>
      </c>
      <c r="BD154" s="82">
        <f t="shared" si="178"/>
        <v>0</v>
      </c>
      <c r="BE154" s="82">
        <f>IF(AF154&lt;($C$8+$C$30),0,$C$29*12*(1-$C$31))</f>
        <v>0</v>
      </c>
      <c r="BF154" s="82">
        <f>IF(AF154&lt;($C$8+$C$34),0,$C$33*12*(1-$C$35))</f>
        <v>0</v>
      </c>
      <c r="BG154" s="82">
        <f>IF(AF154&lt;$C$11,0,IF(AI154&lt;0,$C$42*(1+$C$44)^(AF154-$C$10),IF(((AL154+BE154+BF154)*$C$41)&lt;$C$42*(1+$C$44)^(AF154-$C$10),$C$42*(1+$C$44)^(AF154-$C$10),IF(((AL154+BE154+BF154)*$C$41)&lt;$C$43*(1+$C$44)^(AF154-$C$10),(AL154+BE154+BF154)*$C$41,IF(((AL154+BE154+BF154+BB154)*$C$41)&lt;$C$43*(1+$C$44)^(AF154-$C$10),((AL154+BE154+BF154+BB154)*$C$41),$C$43*(1+$C$44)^(AF154-$C$10))))))</f>
        <v>7222.6799041214936</v>
      </c>
      <c r="BH154" s="82">
        <f t="shared" si="238"/>
        <v>148639.05885745413</v>
      </c>
      <c r="BI154" s="242">
        <f t="shared" si="216"/>
        <v>-243089.66886928672</v>
      </c>
      <c r="BJ154" s="217">
        <f t="shared" si="217"/>
        <v>-391728.72772674088</v>
      </c>
      <c r="BK154" s="118"/>
      <c r="BL154" s="219">
        <f t="shared" si="179"/>
        <v>58</v>
      </c>
      <c r="BM154" s="220">
        <f t="shared" si="180"/>
        <v>75</v>
      </c>
      <c r="BN154" s="220">
        <f t="shared" si="173"/>
        <v>0</v>
      </c>
      <c r="BO154" s="221">
        <f t="shared" si="181"/>
        <v>0</v>
      </c>
      <c r="BP154" s="221">
        <f t="shared" si="182"/>
        <v>0</v>
      </c>
      <c r="BQ154" s="222">
        <f t="shared" si="183"/>
        <v>0</v>
      </c>
      <c r="BR154" s="223">
        <f>IF(BM154&lt;$C$11-$C$10+1,0,IF(BL154&lt;=$C$13,VLOOKUP(BL154,$BN$80:$BQ$156,2,FALSE)-BS154,0))</f>
        <v>0</v>
      </c>
      <c r="BS154" s="223">
        <f>IF(BM154&lt;$C$11-$C$10+1,0,IF(BL154&lt;=$C$13,VLOOKUP(BL154,$BN$80:$BQ$156,3,FALSE),0))</f>
        <v>0</v>
      </c>
      <c r="BT154" s="222">
        <f>IF(BM154&lt;$C$11-$C$10+1,0,IF(BL154&lt;=$C$13,VLOOKUP(BL154,$BN$80:$BQ$156,4,FALSE),0))</f>
        <v>0</v>
      </c>
      <c r="BU154" s="223">
        <f t="shared" si="218"/>
        <v>0</v>
      </c>
      <c r="BV154" s="223">
        <f t="shared" si="219"/>
        <v>0</v>
      </c>
      <c r="BW154" s="223">
        <f t="shared" si="118"/>
        <v>0</v>
      </c>
      <c r="BX154" s="223">
        <f>IF(AND(BS154&lt;=0,BN154=0),MIN((MAX($BZ$80:$BZ$156)-SUM($BX$80:BX153)),CA154),IF(BS154&lt;CA154,BS154,CA154))</f>
        <v>0</v>
      </c>
      <c r="BY154" s="222">
        <f>IF(BN154&gt;0,0,IF(AND(BN154=0,BT154&lt;=0),100%,((BW153*(AVERAGE($BT$80:BT153))+(BR154*BT154))/(BR154+BW153+BS154+BV153))))</f>
        <v>1</v>
      </c>
      <c r="BZ154" s="139">
        <f t="shared" si="220"/>
        <v>430891.77838569693</v>
      </c>
      <c r="CA154" s="122">
        <f t="shared" si="184"/>
        <v>111902.17919155896</v>
      </c>
      <c r="CB154" s="181">
        <f t="shared" si="221"/>
        <v>1</v>
      </c>
      <c r="CC154" s="122">
        <f t="shared" si="222"/>
        <v>3680231.8962765522</v>
      </c>
      <c r="CD154" s="182">
        <f t="shared" si="119"/>
        <v>0</v>
      </c>
      <c r="CE154" s="122">
        <f t="shared" si="239"/>
        <v>430891.77838569693</v>
      </c>
      <c r="CF154" s="122">
        <f t="shared" si="240"/>
        <v>0</v>
      </c>
      <c r="CG154" s="122" t="str">
        <f t="shared" si="185"/>
        <v/>
      </c>
      <c r="CH154" s="140">
        <f t="shared" si="186"/>
        <v>1</v>
      </c>
      <c r="CI154" s="142">
        <f t="shared" si="241"/>
        <v>9984</v>
      </c>
      <c r="CJ154" s="134">
        <f>CI154*$C$57</f>
        <v>0</v>
      </c>
      <c r="CK154" s="142">
        <f t="shared" si="242"/>
        <v>14926</v>
      </c>
      <c r="CL154" s="134">
        <f>CK154*$C$57</f>
        <v>0</v>
      </c>
      <c r="CM154" s="142">
        <f t="shared" si="243"/>
        <v>58596</v>
      </c>
      <c r="CN154" s="134">
        <f>CM154*$C$57</f>
        <v>0</v>
      </c>
      <c r="CO154" s="132">
        <f t="shared" si="279"/>
        <v>111902.17919155896</v>
      </c>
      <c r="CP154" s="140">
        <f t="shared" si="187"/>
        <v>0.42</v>
      </c>
      <c r="CQ154" s="121" t="str">
        <f>IF($C$50="NEIN","NEIN",IF(CS154&lt;CR154,"JA","NEIN"))</f>
        <v>NEIN</v>
      </c>
      <c r="CR154" s="121">
        <f>CO154*$C$46</f>
        <v>29514.199761773674</v>
      </c>
      <c r="CS154" s="121">
        <f t="shared" si="188"/>
        <v>37731.385260454765</v>
      </c>
      <c r="CT154" s="201">
        <f>IF($C$50="NEIN",CR154,IF(CQ154="NEIN",CR154,CS154))</f>
        <v>29514.199761773674</v>
      </c>
      <c r="CU154" s="149"/>
      <c r="CV154" s="202">
        <f t="shared" si="244"/>
        <v>9984</v>
      </c>
      <c r="CW154" s="134">
        <f>CV154*$C$57</f>
        <v>0</v>
      </c>
      <c r="CX154" s="142">
        <f t="shared" si="245"/>
        <v>14926</v>
      </c>
      <c r="CY154" s="134">
        <f>CX154*$C$57</f>
        <v>0</v>
      </c>
      <c r="CZ154" s="142">
        <f t="shared" si="246"/>
        <v>58596</v>
      </c>
      <c r="DA154" s="143">
        <f>CZ154*$C$57</f>
        <v>0</v>
      </c>
      <c r="DB154" s="165">
        <f t="shared" si="120"/>
        <v>111902.17919155896</v>
      </c>
      <c r="DC154" s="140">
        <f t="shared" si="189"/>
        <v>0.42</v>
      </c>
      <c r="DD154" s="121" t="str">
        <f>IF($C$50="NEIN","NEIN",IF(DF154&lt;DE154,"JA","NEIN"))</f>
        <v>NEIN</v>
      </c>
      <c r="DE154" s="121">
        <f>DB154*$C$46</f>
        <v>29514.199761773674</v>
      </c>
      <c r="DF154" s="121">
        <f t="shared" si="190"/>
        <v>37731.385260454765</v>
      </c>
      <c r="DG154" s="201">
        <f>IF($C$50="NEIN",DE154,IF(DD154="NEIN",DE154,DF154))</f>
        <v>29514.199761773674</v>
      </c>
      <c r="DH154" s="159"/>
      <c r="DI154" s="74"/>
      <c r="DJ154" s="74"/>
      <c r="DK154" s="128"/>
      <c r="DL154" s="128"/>
      <c r="DM154" s="128"/>
      <c r="DN154" s="74"/>
      <c r="DO154" s="28">
        <f t="shared" si="247"/>
        <v>2095</v>
      </c>
      <c r="DP154" s="17">
        <f>IF($C$13+$C$10&gt;=DO154,-AG154,IF(DO154=$C$13+$C$10+1,$EK$93,0))</f>
        <v>0</v>
      </c>
      <c r="DQ154" s="17">
        <f t="shared" si="248"/>
        <v>8482434.0520135947</v>
      </c>
      <c r="DR154" s="17">
        <f t="shared" si="249"/>
        <v>30359458.514385857</v>
      </c>
      <c r="DS154" s="17">
        <f t="shared" si="223"/>
        <v>505401.94714117079</v>
      </c>
      <c r="DT154" s="17">
        <f t="shared" si="191"/>
        <v>33025400.693833921</v>
      </c>
      <c r="DU154" s="17">
        <f t="shared" si="250"/>
        <v>2160540.2323068939</v>
      </c>
      <c r="DV154" s="33">
        <f t="shared" si="192"/>
        <v>15123.781626148242</v>
      </c>
      <c r="DW154" s="32">
        <f t="shared" si="193"/>
        <v>660508.01387667842</v>
      </c>
      <c r="DX154" s="17">
        <f t="shared" si="251"/>
        <v>0</v>
      </c>
      <c r="DY154" s="17">
        <f t="shared" si="252"/>
        <v>0</v>
      </c>
      <c r="DZ154" s="17">
        <f t="shared" si="194"/>
        <v>0</v>
      </c>
      <c r="EA154" s="17">
        <f t="shared" si="224"/>
        <v>121735.02831198175</v>
      </c>
      <c r="EB154" s="15">
        <f t="shared" si="225"/>
        <v>538772.98556469672</v>
      </c>
      <c r="EC154" s="15">
        <f>IF(DP154=0,EC153,IF(DO154&lt;=$EK$88+$C$10,ABS(DP154)+EC153,EC153))</f>
        <v>430891.77838569693</v>
      </c>
      <c r="ED154" s="15">
        <f t="shared" si="253"/>
        <v>1925829.0749224988</v>
      </c>
      <c r="EE154" s="16">
        <f t="shared" si="254"/>
        <v>33025400.693833921</v>
      </c>
      <c r="EF154" s="15">
        <f t="shared" si="195"/>
        <v>505401.94714117079</v>
      </c>
      <c r="EG154" s="15">
        <f t="shared" si="255"/>
        <v>8051542.2736278949</v>
      </c>
      <c r="EH154" s="16"/>
      <c r="EI154" s="16"/>
      <c r="EJ154"/>
      <c r="EK154"/>
      <c r="EL154"/>
      <c r="EM154" s="28">
        <f t="shared" si="256"/>
        <v>2095</v>
      </c>
      <c r="EN154" s="29">
        <f>IF($C$13+$C$10&gt;=EM154,-(AG154),IF(EM154=$C$13+$C$10+1,$FB$93,0))</f>
        <v>0</v>
      </c>
      <c r="EO154" s="30">
        <f t="shared" si="257"/>
        <v>392545.00144384388</v>
      </c>
      <c r="EP154" s="30">
        <f t="shared" si="258"/>
        <v>39094272.672886968</v>
      </c>
      <c r="EQ154" s="30">
        <f t="shared" si="226"/>
        <v>-3305.3385469098694</v>
      </c>
      <c r="ER154" s="25">
        <f t="shared" si="196"/>
        <v>41827335.047743864</v>
      </c>
      <c r="ES154" s="30">
        <f t="shared" si="259"/>
        <v>2736367.7134038061</v>
      </c>
      <c r="ET154" s="26">
        <f t="shared" si="197"/>
        <v>19154.573993826627</v>
      </c>
      <c r="EU154" s="30">
        <f t="shared" si="260"/>
        <v>19154.573993826627</v>
      </c>
      <c r="EV154" s="25">
        <f t="shared" si="198"/>
        <v>3536.4132236102409</v>
      </c>
      <c r="EW154" s="31">
        <f t="shared" si="261"/>
        <v>290043.53032409982</v>
      </c>
      <c r="EX154" s="27">
        <f>IF(EM154=0,EX153,IF(EM154&lt;=$FB$88+$C$10,ABS(EN154)+EX153,EX153))</f>
        <v>430891.77838569693</v>
      </c>
      <c r="EY154" s="15"/>
      <c r="EZ154"/>
      <c r="FA154"/>
      <c r="FB154"/>
      <c r="FC154" s="74"/>
      <c r="FD154" s="74"/>
      <c r="FE154" s="74"/>
      <c r="FF154" s="74"/>
      <c r="FG154" s="74"/>
      <c r="FH154" s="74"/>
      <c r="FI154" s="74"/>
      <c r="FJ154" s="28">
        <f t="shared" si="262"/>
        <v>2095</v>
      </c>
      <c r="FK154" s="65">
        <f>IF($C$13+$C$10&gt;=FJ154,-AG154,IF(FJ154=$C$13+$C$10+1,$EK$93,0))</f>
        <v>0</v>
      </c>
      <c r="FL154" s="65">
        <f t="shared" si="263"/>
        <v>74118.803999999975</v>
      </c>
      <c r="FM154" s="65">
        <f t="shared" si="264"/>
        <v>2367976.6205857787</v>
      </c>
      <c r="FN154" s="65">
        <f t="shared" si="227"/>
        <v>0</v>
      </c>
      <c r="FO154" s="65">
        <f t="shared" si="199"/>
        <v>2533734.9840267836</v>
      </c>
      <c r="FP154" s="65">
        <f t="shared" si="265"/>
        <v>165758.36344100488</v>
      </c>
      <c r="FQ154" s="59">
        <f t="shared" si="200"/>
        <v>1160.3085440870316</v>
      </c>
      <c r="FR154" s="60">
        <f t="shared" si="201"/>
        <v>50674.699680535676</v>
      </c>
      <c r="FS154" s="65">
        <f t="shared" si="266"/>
        <v>0</v>
      </c>
      <c r="FT154" s="65">
        <f t="shared" si="267"/>
        <v>0</v>
      </c>
      <c r="FU154" s="65">
        <f t="shared" si="202"/>
        <v>0</v>
      </c>
      <c r="FV154" s="65">
        <f t="shared" si="228"/>
        <v>9144.5526785188977</v>
      </c>
      <c r="FW154" s="61">
        <f t="shared" si="229"/>
        <v>41530.147002016776</v>
      </c>
      <c r="FX154" s="61">
        <f>IF(AND(FJ154&lt;=$GF$88+$C$10,FV153&lt;=0,FN154&gt;0),(FJ154-$C$10+1)*AG154+$GF$80,FX153)</f>
        <v>73074.599999999977</v>
      </c>
      <c r="FY154" s="62">
        <f t="shared" si="230"/>
        <v>43.285005963014946</v>
      </c>
      <c r="FZ154" s="63">
        <f t="shared" si="268"/>
        <v>2533734.9840267836</v>
      </c>
      <c r="GA154" s="64">
        <f t="shared" si="269"/>
        <v>48326.053481342424</v>
      </c>
      <c r="GB154" s="64">
        <f t="shared" si="270"/>
        <v>1010052.6188258356</v>
      </c>
      <c r="GC154" s="66">
        <f t="shared" si="203"/>
        <v>0</v>
      </c>
      <c r="GD154" s="64">
        <f t="shared" si="271"/>
        <v>1580.6039999999994</v>
      </c>
      <c r="GE154"/>
      <c r="GF154"/>
      <c r="GG154" s="74"/>
      <c r="GH154" s="74"/>
      <c r="GI154" s="28">
        <f t="shared" si="272"/>
        <v>2095</v>
      </c>
      <c r="GJ154" s="9">
        <f>IF($GX$88+$C$10&gt;=GI154,-AG154,IF(GI154=$GX$88+$C$10+1,$FB$93,0))</f>
        <v>0</v>
      </c>
      <c r="GK154" s="5">
        <f t="shared" si="273"/>
        <v>1151375.3198863361</v>
      </c>
      <c r="GL154" s="5">
        <f t="shared" si="274"/>
        <v>35525919.727938697</v>
      </c>
      <c r="GM154" s="35">
        <f t="shared" si="231"/>
        <v>36611.477798389176</v>
      </c>
      <c r="GN154" s="4">
        <f t="shared" si="204"/>
        <v>38051908.390138686</v>
      </c>
      <c r="GO154" s="5">
        <f t="shared" si="275"/>
        <v>2489377.1844016016</v>
      </c>
      <c r="GP154" s="5">
        <f t="shared" si="205"/>
        <v>17425.64029081117</v>
      </c>
      <c r="GQ154" s="5">
        <f t="shared" si="276"/>
        <v>17425.64029081117</v>
      </c>
      <c r="GR154" s="4">
        <f t="shared" si="206"/>
        <v>3217.2088386910123</v>
      </c>
      <c r="GS154" s="7">
        <f t="shared" si="277"/>
        <v>258303.7314917662</v>
      </c>
      <c r="GT154" s="107" t="e">
        <f>IF($DG$62=0,EX154,IF(GI154-$C$10+1&lt;=$GF$98,0,#REF!-FX154))</f>
        <v>#REF!</v>
      </c>
      <c r="GU154"/>
      <c r="GV154"/>
      <c r="GW154"/>
      <c r="GX154"/>
      <c r="GY154" s="74"/>
      <c r="GZ154" s="74"/>
      <c r="HA154" s="74"/>
      <c r="HB154" s="74"/>
      <c r="HC154" s="74"/>
      <c r="HD154" s="74"/>
    </row>
    <row r="155" spans="2:212" ht="16.149999999999999" thickBot="1" x14ac:dyDescent="0.55000000000000004">
      <c r="B155" s="333"/>
      <c r="C155" s="75"/>
      <c r="D155" s="75"/>
      <c r="F155" s="75"/>
      <c r="G155" s="75"/>
      <c r="H155" s="75"/>
      <c r="I155" s="75"/>
      <c r="J155" s="75"/>
      <c r="K155" s="75"/>
      <c r="L155" s="75"/>
      <c r="M155" s="75"/>
      <c r="O155" s="75"/>
      <c r="P155" s="75"/>
      <c r="Q155" s="75"/>
      <c r="R155" s="75"/>
      <c r="S155" s="290"/>
      <c r="T155" s="291"/>
      <c r="U155" s="291"/>
      <c r="V155" s="292"/>
      <c r="W155" s="292"/>
      <c r="AB155" s="117">
        <f t="shared" si="207"/>
        <v>103</v>
      </c>
      <c r="AC155" s="117">
        <f t="shared" si="208"/>
        <v>2096</v>
      </c>
      <c r="AD155" s="299">
        <f>IF($C$20="NEIN",$C$21,IF($C$22="JA",'HISTORISCHE RENDITEN'!E79,'HISTORISCHE RENDITEN'!D79))</f>
        <v>-0.17829999999999999</v>
      </c>
      <c r="AE155" s="129">
        <f t="shared" si="278"/>
        <v>103</v>
      </c>
      <c r="AF155" s="120">
        <f t="shared" si="209"/>
        <v>2096</v>
      </c>
      <c r="AG155" s="122">
        <f t="shared" si="175"/>
        <v>0</v>
      </c>
      <c r="AH155" s="124">
        <f t="shared" si="210"/>
        <v>430891.77838569693</v>
      </c>
      <c r="AI155" s="296">
        <f t="shared" si="232"/>
        <v>-391728.72772674088</v>
      </c>
      <c r="AJ155" s="123">
        <f t="shared" si="233"/>
        <v>0</v>
      </c>
      <c r="AK155" s="124">
        <f t="shared" si="211"/>
        <v>-321883.49557306297</v>
      </c>
      <c r="AL155" s="122">
        <f t="shared" si="176"/>
        <v>69845.232153677905</v>
      </c>
      <c r="AM155" s="122">
        <f>IF($C$25="Ausschütter",0,IF(AL155&gt;=0,(AI155+AJ155)*$C$48*0.7))</f>
        <v>-191.94707658610301</v>
      </c>
      <c r="AN155" s="122">
        <f t="shared" si="177"/>
        <v>0</v>
      </c>
      <c r="AO155" s="122">
        <f t="shared" si="212"/>
        <v>-191.94707658610301</v>
      </c>
      <c r="AP155" s="122">
        <f t="shared" si="234"/>
        <v>22806.365681454005</v>
      </c>
      <c r="AQ155" s="122">
        <f>IF($C$25="AUSSCHÜTTER",0,IF(AO155*$C$46*$C$49&lt;=$C$47,0,AO155*$C$46*$C$49))</f>
        <v>0</v>
      </c>
      <c r="AR155" s="122">
        <f>IF(AO154*$C$49&gt;$C$47,(AN155)*$C$49*$C$46,IF((AO154+AN155)*$C$49&gt;$C$47,((AO154+AN155)*$C$49-$C$47)*$C$46,0))</f>
        <v>0</v>
      </c>
      <c r="AS155" s="122">
        <f t="shared" si="235"/>
        <v>0</v>
      </c>
      <c r="AT155" s="122">
        <f t="shared" si="213"/>
        <v>430891.77838569693</v>
      </c>
      <c r="AU155" s="122">
        <f t="shared" si="236"/>
        <v>0</v>
      </c>
      <c r="AV155" s="122">
        <f t="shared" si="237"/>
        <v>-321883.49557306297</v>
      </c>
      <c r="AW155" s="122">
        <f t="shared" si="214"/>
        <v>0</v>
      </c>
      <c r="AX155" s="130">
        <f t="shared" si="215"/>
        <v>0</v>
      </c>
      <c r="AY155" s="82">
        <f>IF(AF155&lt;$C$11,$C$15*(1+$C$19)^(AF155-$C$10),0)</f>
        <v>0</v>
      </c>
      <c r="AZ155" s="82">
        <f>$C$14*(1+$C$37)^(AF155-$C$10)</f>
        <v>114699.73367134793</v>
      </c>
      <c r="BA155" s="165">
        <f>IF(AF155&lt;$C$11,0,MAX($C$38*AI155,AZ155))</f>
        <v>114699.73367134793</v>
      </c>
      <c r="BB155" s="82">
        <f>IF(AF155&lt;$C$11,0,MAX($C$38*AI155,AZ155))</f>
        <v>114699.73367134793</v>
      </c>
      <c r="BC155" s="136">
        <f>IF($C$39="JA",CT155,DG155)</f>
        <v>30252.054755818015</v>
      </c>
      <c r="BD155" s="82">
        <f t="shared" si="178"/>
        <v>0</v>
      </c>
      <c r="BE155" s="82">
        <f>IF(AF155&lt;($C$8+$C$30),0,$C$29*12*(1-$C$31))</f>
        <v>0</v>
      </c>
      <c r="BF155" s="82">
        <f>IF(AF155&lt;($C$8+$C$34),0,$C$33*12*(1-$C$35))</f>
        <v>0</v>
      </c>
      <c r="BG155" s="82">
        <f>IF(AF155&lt;$C$11,0,IF(AI155&lt;0,$C$42*(1+$C$44)^(AF155-$C$10),IF(((AL155+BE155+BF155)*$C$41)&lt;$C$42*(1+$C$44)^(AF155-$C$10),$C$42*(1+$C$44)^(AF155-$C$10),IF(((AL155+BE155+BF155)*$C$41)&lt;$C$43*(1+$C$44)^(AF155-$C$10),(AL155+BE155+BF155)*$C$41,IF(((AL155+BE155+BF155+BB155)*$C$41)&lt;$C$43*(1+$C$44)^(AF155-$C$10),((AL155+BE155+BF155+BB155)*$C$41),$C$43*(1+$C$44)^(AF155-$C$10))))))</f>
        <v>7331.0201026833147</v>
      </c>
      <c r="BH155" s="82">
        <f t="shared" si="238"/>
        <v>152282.80852984925</v>
      </c>
      <c r="BI155" s="242">
        <f t="shared" si="216"/>
        <v>-321883.49557306297</v>
      </c>
      <c r="BJ155" s="217">
        <f t="shared" si="217"/>
        <v>-474166.3041029122</v>
      </c>
      <c r="BK155" s="118"/>
      <c r="BL155" s="219">
        <f t="shared" si="179"/>
        <v>59</v>
      </c>
      <c r="BM155" s="220">
        <f t="shared" si="180"/>
        <v>76</v>
      </c>
      <c r="BN155" s="220">
        <f t="shared" si="173"/>
        <v>0</v>
      </c>
      <c r="BO155" s="221">
        <f t="shared" si="181"/>
        <v>0</v>
      </c>
      <c r="BP155" s="221">
        <f t="shared" si="182"/>
        <v>0</v>
      </c>
      <c r="BQ155" s="222">
        <f t="shared" si="183"/>
        <v>0</v>
      </c>
      <c r="BR155" s="223">
        <f>IF(BM155&lt;$C$11-$C$10+1,0,IF(BL155&lt;=$C$13,VLOOKUP(BL155,$BN$80:$BQ$156,2,FALSE)-BS155,0))</f>
        <v>0</v>
      </c>
      <c r="BS155" s="223">
        <f>IF(BM155&lt;$C$11-$C$10+1,0,IF(BL155&lt;=$C$13,VLOOKUP(BL155,$BN$80:$BQ$156,3,FALSE),0))</f>
        <v>0</v>
      </c>
      <c r="BT155" s="222">
        <f>IF(BM155&lt;$C$11-$C$10+1,0,IF(BL155&lt;=$C$13,VLOOKUP(BL155,$BN$80:$BQ$156,4,FALSE),0))</f>
        <v>0</v>
      </c>
      <c r="BU155" s="223">
        <f t="shared" si="218"/>
        <v>0</v>
      </c>
      <c r="BV155" s="223">
        <f t="shared" si="219"/>
        <v>0</v>
      </c>
      <c r="BW155" s="223">
        <f t="shared" si="118"/>
        <v>0</v>
      </c>
      <c r="BX155" s="223">
        <f>IF(AND(BS155&lt;=0,BN155=0),MIN((MAX($BZ$80:$BZ$156)-SUM($BX$80:BX154)),CA155),IF(BS155&lt;CA155,BS155,CA155))</f>
        <v>0</v>
      </c>
      <c r="BY155" s="222">
        <f>IF(BN155&gt;0,0,IF(AND(BN155=0,BT155&lt;=0),100%,((BW154*(AVERAGE($BT$80:BT154))+(BR155*BT155))/(BR155+BW154+BS155+BV154))))</f>
        <v>1</v>
      </c>
      <c r="BZ155" s="139">
        <f t="shared" si="220"/>
        <v>430891.77838569693</v>
      </c>
      <c r="CA155" s="122">
        <f t="shared" si="184"/>
        <v>114699.73367134793</v>
      </c>
      <c r="CB155" s="181">
        <f t="shared" si="221"/>
        <v>1</v>
      </c>
      <c r="CC155" s="122">
        <f t="shared" si="222"/>
        <v>3794931.6299479003</v>
      </c>
      <c r="CD155" s="182">
        <f t="shared" si="119"/>
        <v>0</v>
      </c>
      <c r="CE155" s="122">
        <f t="shared" si="239"/>
        <v>430891.77838569693</v>
      </c>
      <c r="CF155" s="122">
        <f t="shared" si="240"/>
        <v>0</v>
      </c>
      <c r="CG155" s="122" t="str">
        <f t="shared" si="185"/>
        <v/>
      </c>
      <c r="CH155" s="140">
        <f t="shared" si="186"/>
        <v>1</v>
      </c>
      <c r="CI155" s="142">
        <f t="shared" si="241"/>
        <v>9984</v>
      </c>
      <c r="CJ155" s="134">
        <f>CI155*$C$57</f>
        <v>0</v>
      </c>
      <c r="CK155" s="142">
        <f t="shared" si="242"/>
        <v>14926</v>
      </c>
      <c r="CL155" s="134">
        <f>CK155*$C$57</f>
        <v>0</v>
      </c>
      <c r="CM155" s="142">
        <f t="shared" si="243"/>
        <v>58596</v>
      </c>
      <c r="CN155" s="134">
        <f>CM155*$C$57</f>
        <v>0</v>
      </c>
      <c r="CO155" s="132">
        <f t="shared" si="279"/>
        <v>114699.73367134793</v>
      </c>
      <c r="CP155" s="140">
        <f t="shared" si="187"/>
        <v>0.42</v>
      </c>
      <c r="CQ155" s="121" t="str">
        <f>IF($C$50="NEIN","NEIN",IF(CS155&lt;CR155,"JA","NEIN"))</f>
        <v>NEIN</v>
      </c>
      <c r="CR155" s="121">
        <f>CO155*$C$46</f>
        <v>30252.054755818015</v>
      </c>
      <c r="CS155" s="121">
        <f t="shared" si="188"/>
        <v>38906.358141966128</v>
      </c>
      <c r="CT155" s="201">
        <f>IF($C$50="NEIN",CR155,IF(CQ155="NEIN",CR155,CS155))</f>
        <v>30252.054755818015</v>
      </c>
      <c r="CU155" s="149"/>
      <c r="CV155" s="202">
        <f t="shared" si="244"/>
        <v>9984</v>
      </c>
      <c r="CW155" s="134">
        <f>CV155*$C$57</f>
        <v>0</v>
      </c>
      <c r="CX155" s="142">
        <f t="shared" si="245"/>
        <v>14926</v>
      </c>
      <c r="CY155" s="134">
        <f>CX155*$C$57</f>
        <v>0</v>
      </c>
      <c r="CZ155" s="142">
        <f t="shared" si="246"/>
        <v>58596</v>
      </c>
      <c r="DA155" s="143">
        <f>CZ155*$C$57</f>
        <v>0</v>
      </c>
      <c r="DB155" s="165">
        <f t="shared" si="120"/>
        <v>114699.73367134793</v>
      </c>
      <c r="DC155" s="140">
        <f t="shared" si="189"/>
        <v>0.42</v>
      </c>
      <c r="DD155" s="121" t="str">
        <f>IF($C$50="NEIN","NEIN",IF(DF155&lt;DE155,"JA","NEIN"))</f>
        <v>NEIN</v>
      </c>
      <c r="DE155" s="121">
        <f>DB155*$C$46</f>
        <v>30252.054755818015</v>
      </c>
      <c r="DF155" s="121">
        <f t="shared" si="190"/>
        <v>38906.358141966128</v>
      </c>
      <c r="DG155" s="201">
        <f>IF($C$50="NEIN",DE155,IF(DD155="NEIN",DE155,DF155))</f>
        <v>30252.054755818015</v>
      </c>
      <c r="DH155" s="159"/>
      <c r="DI155" s="74"/>
      <c r="DJ155" s="74"/>
      <c r="DK155" s="128"/>
      <c r="DL155" s="128"/>
      <c r="DM155" s="128"/>
      <c r="DN155" s="74"/>
      <c r="DO155" s="28">
        <f t="shared" si="247"/>
        <v>2096</v>
      </c>
      <c r="DP155" s="17">
        <f>IF($C$13+$C$10&gt;=DO155,-AG155,IF(DO155=$C$13+$C$10+1,$EK$93,0))</f>
        <v>0</v>
      </c>
      <c r="DQ155" s="17">
        <f t="shared" si="248"/>
        <v>9021207.0375782922</v>
      </c>
      <c r="DR155" s="17">
        <f t="shared" si="249"/>
        <v>32364892.679957241</v>
      </c>
      <c r="DS155" s="17">
        <f t="shared" si="223"/>
        <v>538772.98556469672</v>
      </c>
      <c r="DT155" s="17">
        <f t="shared" si="191"/>
        <v>35206922.262108475</v>
      </c>
      <c r="DU155" s="17">
        <f t="shared" si="250"/>
        <v>2303256.5965865366</v>
      </c>
      <c r="DV155" s="33">
        <f t="shared" si="192"/>
        <v>16122.796176105749</v>
      </c>
      <c r="DW155" s="32">
        <f t="shared" si="193"/>
        <v>704138.44524216955</v>
      </c>
      <c r="DX155" s="17">
        <f t="shared" si="251"/>
        <v>0</v>
      </c>
      <c r="DY155" s="17">
        <f t="shared" si="252"/>
        <v>0</v>
      </c>
      <c r="DZ155" s="17">
        <f t="shared" si="194"/>
        <v>0</v>
      </c>
      <c r="EA155" s="17">
        <f t="shared" si="224"/>
        <v>129790.29670283553</v>
      </c>
      <c r="EB155" s="15">
        <f t="shared" si="225"/>
        <v>574348.14853933407</v>
      </c>
      <c r="EC155" s="15">
        <f>IF(DP155=0,EC154,IF(DO155&lt;=$EK$88+$C$10,ABS(DP155)+EC154,EC154))</f>
        <v>430891.77838569693</v>
      </c>
      <c r="ED155" s="15">
        <f t="shared" si="253"/>
        <v>2055619.3716253343</v>
      </c>
      <c r="EE155" s="16">
        <f t="shared" si="254"/>
        <v>35206922.262108475</v>
      </c>
      <c r="EF155" s="15">
        <f t="shared" si="195"/>
        <v>538772.98556469672</v>
      </c>
      <c r="EG155" s="15">
        <f t="shared" si="255"/>
        <v>8590315.2591925915</v>
      </c>
      <c r="EH155" s="16"/>
      <c r="EI155" s="16"/>
      <c r="EJ155"/>
      <c r="EK155"/>
      <c r="EL155"/>
      <c r="EM155" s="28">
        <f t="shared" si="256"/>
        <v>2096</v>
      </c>
      <c r="EN155" s="29">
        <f>IF($C$13+$C$10&gt;=EM155,-(AG155),IF(EM155=$C$13+$C$10+1,$FB$93,0))</f>
        <v>0</v>
      </c>
      <c r="EO155" s="30">
        <f t="shared" si="257"/>
        <v>389008.58822023362</v>
      </c>
      <c r="EP155" s="30">
        <f t="shared" si="258"/>
        <v>41827335.047743864</v>
      </c>
      <c r="EQ155" s="30">
        <f t="shared" si="226"/>
        <v>-3536.4132236102409</v>
      </c>
      <c r="ER155" s="25">
        <f t="shared" si="196"/>
        <v>44751464.538936675</v>
      </c>
      <c r="ES155" s="30">
        <f t="shared" si="259"/>
        <v>2927665.9044164196</v>
      </c>
      <c r="ET155" s="26">
        <f t="shared" si="197"/>
        <v>20493.661330914925</v>
      </c>
      <c r="EU155" s="30">
        <f t="shared" si="260"/>
        <v>20493.661330914925</v>
      </c>
      <c r="EV155" s="25">
        <f t="shared" si="198"/>
        <v>3783.6422232201676</v>
      </c>
      <c r="EW155" s="31">
        <f t="shared" si="261"/>
        <v>310537.19165501476</v>
      </c>
      <c r="EX155" s="27">
        <f>IF(EM155=0,EX154,IF(EM155&lt;=$FB$88+$C$10,ABS(EN155)+EX154,EX154))</f>
        <v>430891.77838569693</v>
      </c>
      <c r="EY155" s="15"/>
      <c r="EZ155"/>
      <c r="FA155"/>
      <c r="FB155"/>
      <c r="FC155" s="74"/>
      <c r="FD155" s="74"/>
      <c r="FE155" s="74"/>
      <c r="FF155" s="74"/>
      <c r="FG155" s="74"/>
      <c r="FH155" s="74"/>
      <c r="FI155" s="74"/>
      <c r="FJ155" s="28">
        <f t="shared" si="262"/>
        <v>2096</v>
      </c>
      <c r="FK155" s="65">
        <f>IF($C$13+$C$10&gt;=FJ155,-AG155,IF(FJ155=$C$13+$C$10+1,$EK$93,0))</f>
        <v>0</v>
      </c>
      <c r="FL155" s="65">
        <f t="shared" si="263"/>
        <v>74118.803999999975</v>
      </c>
      <c r="FM155" s="65">
        <f t="shared" si="264"/>
        <v>2483060.284346248</v>
      </c>
      <c r="FN155" s="65">
        <f t="shared" si="227"/>
        <v>0</v>
      </c>
      <c r="FO155" s="65">
        <f t="shared" si="199"/>
        <v>2656874.5042504855</v>
      </c>
      <c r="FP155" s="65">
        <f t="shared" si="265"/>
        <v>173814.21990423743</v>
      </c>
      <c r="FQ155" s="59">
        <f t="shared" si="200"/>
        <v>1216.6995393296615</v>
      </c>
      <c r="FR155" s="60">
        <f t="shared" si="201"/>
        <v>53137.490085009711</v>
      </c>
      <c r="FS155" s="65">
        <f t="shared" si="266"/>
        <v>0</v>
      </c>
      <c r="FT155" s="65">
        <f t="shared" si="267"/>
        <v>0</v>
      </c>
      <c r="FU155" s="65">
        <f t="shared" si="202"/>
        <v>0</v>
      </c>
      <c r="FV155" s="65">
        <f t="shared" si="228"/>
        <v>9599.2453569449153</v>
      </c>
      <c r="FW155" s="61">
        <f t="shared" si="229"/>
        <v>43538.244728064798</v>
      </c>
      <c r="FX155" s="61">
        <f>IF(AND(FJ155&lt;=$GF$88+$C$10,FV154&lt;=0,FN155&gt;0),(FJ155-$C$10+1)*AG155+$GF$80,FX154)</f>
        <v>73074.599999999977</v>
      </c>
      <c r="FY155" s="62">
        <f t="shared" si="230"/>
        <v>45.437257252817467</v>
      </c>
      <c r="FZ155" s="63">
        <f t="shared" si="268"/>
        <v>2656874.5042504855</v>
      </c>
      <c r="GA155" s="64">
        <f t="shared" si="269"/>
        <v>50674.699680535676</v>
      </c>
      <c r="GB155" s="64">
        <f t="shared" si="270"/>
        <v>1060727.3185063712</v>
      </c>
      <c r="GC155" s="66">
        <f t="shared" si="203"/>
        <v>0</v>
      </c>
      <c r="GD155" s="64">
        <f t="shared" si="271"/>
        <v>1580.6039999999994</v>
      </c>
      <c r="GE155"/>
      <c r="GF155"/>
      <c r="GG155" s="74"/>
      <c r="GH155" s="74"/>
      <c r="GI155" s="28">
        <f t="shared" si="272"/>
        <v>2096</v>
      </c>
      <c r="GJ155" s="9">
        <f>IF($GX$88+$C$10&gt;=GI155,-AG155,IF(GI155=$GX$88+$C$10+1,$FB$93,0))</f>
        <v>0</v>
      </c>
      <c r="GK155" s="5">
        <f t="shared" si="273"/>
        <v>1189688.2580496618</v>
      </c>
      <c r="GL155" s="5">
        <f t="shared" si="274"/>
        <v>38051908.390138686</v>
      </c>
      <c r="GM155" s="35">
        <f t="shared" si="231"/>
        <v>38312.938163325765</v>
      </c>
      <c r="GN155" s="4">
        <f t="shared" si="204"/>
        <v>40756536.821283154</v>
      </c>
      <c r="GO155" s="5">
        <f t="shared" si="275"/>
        <v>2666315.4929811433</v>
      </c>
      <c r="GP155" s="5">
        <f t="shared" si="205"/>
        <v>18664.208450867984</v>
      </c>
      <c r="GQ155" s="5">
        <f t="shared" si="276"/>
        <v>18664.208450867984</v>
      </c>
      <c r="GR155" s="4">
        <f t="shared" si="206"/>
        <v>3445.8794852415012</v>
      </c>
      <c r="GS155" s="7">
        <f t="shared" si="277"/>
        <v>276967.9399426342</v>
      </c>
      <c r="GT155" s="107" t="e">
        <f>IF($DG$62=0,EX155,IF(GI155-$C$10+1&lt;=$GF$98,0,#REF!-FX155))</f>
        <v>#REF!</v>
      </c>
      <c r="GU155"/>
      <c r="GV155"/>
      <c r="GW155"/>
      <c r="GX155"/>
      <c r="GY155" s="74"/>
      <c r="GZ155" s="74"/>
      <c r="HA155" s="74"/>
      <c r="HB155" s="74"/>
      <c r="HC155" s="74"/>
      <c r="HD155" s="74"/>
    </row>
    <row r="156" spans="2:212" ht="16.149999999999999" thickBot="1" x14ac:dyDescent="0.55000000000000004">
      <c r="B156" s="333"/>
      <c r="C156" s="75"/>
      <c r="D156" s="75"/>
      <c r="F156" s="75"/>
      <c r="G156" s="75"/>
      <c r="H156" s="75"/>
      <c r="I156" s="75"/>
      <c r="J156" s="75"/>
      <c r="K156" s="75"/>
      <c r="L156" s="75"/>
      <c r="M156" s="75"/>
      <c r="O156" s="75"/>
      <c r="P156" s="75"/>
      <c r="Q156" s="75"/>
      <c r="R156" s="75"/>
      <c r="S156" s="290"/>
      <c r="T156" s="291"/>
      <c r="U156" s="291"/>
      <c r="V156" s="292"/>
      <c r="W156" s="292"/>
      <c r="AB156" s="117">
        <f t="shared" si="207"/>
        <v>104</v>
      </c>
      <c r="AC156" s="117">
        <f t="shared" si="208"/>
        <v>2097</v>
      </c>
      <c r="AD156" s="299">
        <f>IF($C$20="NEIN",$C$21,IF($C$22="JA",'HISTORISCHE RENDITEN'!E80,'HISTORISCHE RENDITEN'!D80))</f>
        <v>-0.21059999999999998</v>
      </c>
      <c r="AE156" s="129">
        <f t="shared" si="278"/>
        <v>104</v>
      </c>
      <c r="AF156" s="120">
        <f t="shared" ref="AF156:AF185" si="280">AF155+1</f>
        <v>2097</v>
      </c>
      <c r="AG156" s="122">
        <f t="shared" ref="AG156:AG185" si="281">IF(AF156&lt;$C$11,AY156-AZ156,0)</f>
        <v>0</v>
      </c>
      <c r="AH156" s="124">
        <f t="shared" ref="AH156:AH185" si="282">AH155+AJ156</f>
        <v>430891.77838569693</v>
      </c>
      <c r="AI156" s="296">
        <f t="shared" ref="AI156:AI185" si="283">BJ155</f>
        <v>-474166.3041029122</v>
      </c>
      <c r="AJ156" s="123">
        <f t="shared" si="233"/>
        <v>0</v>
      </c>
      <c r="AK156" s="124">
        <f t="shared" ref="AK156:AK185" si="284">(AI156+AJ156)*(1+AD156)</f>
        <v>-374306.88045883889</v>
      </c>
      <c r="AL156" s="122">
        <f t="shared" ref="AL156:AL185" si="285">AK156-(AJ156+AI156)</f>
        <v>99859.423644073308</v>
      </c>
      <c r="AM156" s="122">
        <f>IF($C$25="Ausschütter",0,IF(AL156&gt;=0,(AI156+AJ156)*$C$48*0.7))</f>
        <v>-232.34148901042693</v>
      </c>
      <c r="AN156" s="122">
        <f t="shared" si="177"/>
        <v>0</v>
      </c>
      <c r="AO156" s="122">
        <f t="shared" si="212"/>
        <v>-232.34148901042693</v>
      </c>
      <c r="AP156" s="122">
        <f t="shared" ref="AP156:AP185" si="286">AP155+AO156</f>
        <v>22574.024192443576</v>
      </c>
      <c r="AQ156" s="122">
        <f>IF($C$25="AUSSCHÜTTER",0,IF(AO156*$C$46*$C$49&lt;=$C$47,0,AO156*$C$46*$C$49))</f>
        <v>0</v>
      </c>
      <c r="AR156" s="122">
        <f>IF(AO155*$C$49&gt;$C$47,(AN156)*$C$49*$C$46,IF((AO155+AN156)*$C$49&gt;$C$47,((AO155+AN156)*$C$49-$C$47)*$C$46,0))</f>
        <v>0</v>
      </c>
      <c r="AS156" s="122">
        <f t="shared" ref="AS156:AS185" si="287">AN156-AR156-AQ156</f>
        <v>0</v>
      </c>
      <c r="AT156" s="122">
        <f t="shared" ref="AT156:AT185" si="288">IF(AG156=0,AT155,IF(AF156&lt;=$C$13+$C$10,ABS(AG156)+AT155,AT155))</f>
        <v>430891.77838569693</v>
      </c>
      <c r="AU156" s="122">
        <f t="shared" ref="AU156:AU185" si="289">SUM(AR156+AQ156)+AU155</f>
        <v>0</v>
      </c>
      <c r="AV156" s="122">
        <f t="shared" ref="AV156:AV185" si="290">AK156</f>
        <v>-374306.88045883889</v>
      </c>
      <c r="AW156" s="122">
        <f t="shared" si="214"/>
        <v>0</v>
      </c>
      <c r="AX156" s="130">
        <f t="shared" si="215"/>
        <v>0</v>
      </c>
      <c r="AY156" s="82">
        <f>IF(AF156&lt;$C$11,$C$15*(1+$C$19)^(AF156-$C$10),0)</f>
        <v>0</v>
      </c>
      <c r="AZ156" s="82">
        <f>$C$14*(1+$C$37)^(AF156-$C$10)</f>
        <v>117567.2270131316</v>
      </c>
      <c r="BA156" s="165">
        <f>IF(AF156&lt;$C$11,0,MAX($C$38*AI156,AZ156))</f>
        <v>117567.2270131316</v>
      </c>
      <c r="BB156" s="82">
        <f>IF(AF156&lt;$C$11,0,MAX($C$38*AI156,AZ156))</f>
        <v>117567.2270131316</v>
      </c>
      <c r="BC156" s="136">
        <f>IF($C$39="JA",CT156,DG156)</f>
        <v>31008.35612471346</v>
      </c>
      <c r="BD156" s="82">
        <f t="shared" si="178"/>
        <v>0</v>
      </c>
      <c r="BE156" s="82">
        <f>IF(AF156&lt;($C$8+$C$30),0,$C$29*12*(1-$C$31))</f>
        <v>0</v>
      </c>
      <c r="BF156" s="82">
        <f>IF(AF156&lt;($C$8+$C$34),0,$C$33*12*(1-$C$35))</f>
        <v>0</v>
      </c>
      <c r="BG156" s="82">
        <f>IF(AF156&lt;$C$11,0,IF(AI156&lt;0,$C$42*(1+$C$44)^(AF156-$C$10),IF(((AL156+BE156+BF156)*$C$41)&lt;$C$42*(1+$C$44)^(AF156-$C$10),$C$42*(1+$C$44)^(AF156-$C$10),IF(((AL156+BE156+BF156)*$C$41)&lt;$C$43*(1+$C$44)^(AF156-$C$10),(AL156+BE156+BF156)*$C$41,IF(((AL156+BE156+BF156+BB156)*$C$41)&lt;$C$43*(1+$C$44)^(AF156-$C$10),((AL156+BE156+BF156+BB156)*$C$41),$C$43*(1+$C$44)^(AF156-$C$10))))))</f>
        <v>7440.985404223562</v>
      </c>
      <c r="BH156" s="82">
        <f t="shared" si="238"/>
        <v>156016.56854206862</v>
      </c>
      <c r="BI156" s="242">
        <f t="shared" ref="BI156:BI185" si="291">AI156+AY156+BE156+BF156+AL156</f>
        <v>-374306.88045883889</v>
      </c>
      <c r="BJ156" s="217">
        <f t="shared" ref="BJ156:BJ185" si="292">BI156-BH156</f>
        <v>-530323.44900090748</v>
      </c>
      <c r="BK156" s="118"/>
      <c r="BL156" s="219">
        <f t="shared" ref="BL156:BL185" si="293">IF(AF156&lt;$C$11,0,AF156-$C$11+1)</f>
        <v>60</v>
      </c>
      <c r="BM156" s="220">
        <f t="shared" ref="BM156:BM185" si="294">AE156-$C$9+1</f>
        <v>77</v>
      </c>
      <c r="BN156" s="220">
        <f t="shared" ref="BN156:BN185" si="295">IF(AF156&lt;$C$11,($C$10+77)-AF156,0)</f>
        <v>0</v>
      </c>
      <c r="BO156" s="221">
        <f t="shared" ref="BO156:BO185" si="296">AG156*(1+AVERAGE($AD$80:$AD$156))^(BN156)</f>
        <v>0</v>
      </c>
      <c r="BP156" s="221">
        <f t="shared" ref="BP156:BP185" si="297">AG156</f>
        <v>0</v>
      </c>
      <c r="BQ156" s="222">
        <f t="shared" ref="BQ156:BQ185" si="298">IF(BP156&lt;=0,0,BO156/BP156-1)</f>
        <v>0</v>
      </c>
      <c r="BR156" s="223">
        <f>IF(BM156&lt;$C$11-$C$10+1,0,IF(BL156&lt;=$C$13,VLOOKUP(BL156,$BN$80:$BQ$156,2,FALSE)-BS156,0))</f>
        <v>0</v>
      </c>
      <c r="BS156" s="223">
        <f>IF(BM156&lt;$C$11-$C$10+1,0,IF(BL156&lt;=$C$13,VLOOKUP(BL156,$BN$80:$BQ$156,3,FALSE),0))</f>
        <v>0</v>
      </c>
      <c r="BT156" s="222">
        <f>IF(BM156&lt;$C$11-$C$10+1,0,IF(BL156&lt;=$C$13,VLOOKUP(BL156,$BN$80:$BQ$156,4,FALSE),0))</f>
        <v>0</v>
      </c>
      <c r="BU156" s="223">
        <f t="shared" ref="BU156:BU185" si="299">IF((BR156+BS156)-CA156+BU155&lt;0,0,(BR156+BS156)-CA156+BU155)</f>
        <v>0</v>
      </c>
      <c r="BV156" s="223">
        <f t="shared" ref="BV156:BV185" si="300">IF(BS156-CA156+BV155&gt;0,BS156-CA156+BV155,0)</f>
        <v>0</v>
      </c>
      <c r="BW156" s="223">
        <f t="shared" ref="BW156:BW185" si="301">BU156-BV156</f>
        <v>0</v>
      </c>
      <c r="BX156" s="223">
        <f>IF(AND(BS156&lt;=0,BN156=0),MIN((MAX($BZ$80:$BZ$156)-SUM($BX$80:BX155)),CA156),IF(BS156&lt;CA156,BS156,CA156))</f>
        <v>0</v>
      </c>
      <c r="BY156" s="222">
        <f>IF(BN156&gt;0,0,IF(AND(BN156=0,BT156&lt;=0),100%,((BW155*(AVERAGE($BT$80:BT155))+(BR156*BT156))/(BR156+BW155+BS156+BV155))))</f>
        <v>1</v>
      </c>
      <c r="BZ156" s="139">
        <f t="shared" ref="BZ156:BZ185" si="302">AG156+BZ155</f>
        <v>430891.77838569693</v>
      </c>
      <c r="CA156" s="122">
        <f t="shared" ref="CA156:CA185" si="303">IF(BB156-BD156&lt;=0,0,BB156-BD156)</f>
        <v>117567.2270131316</v>
      </c>
      <c r="CB156" s="181">
        <f t="shared" ref="CB156:CB185" si="304">BY156</f>
        <v>1</v>
      </c>
      <c r="CC156" s="122">
        <f t="shared" ref="CC156:CC185" si="305">CA156+CC155</f>
        <v>3912498.8569610319</v>
      </c>
      <c r="CD156" s="182">
        <f t="shared" ref="CD156:CD185" si="306">BX156</f>
        <v>0</v>
      </c>
      <c r="CE156" s="122">
        <f t="shared" ref="CE156:CE185" si="307">CD156+CE155</f>
        <v>430891.77838569693</v>
      </c>
      <c r="CF156" s="122">
        <f t="shared" ref="CF156:CF185" si="308">BZ156-CE156</f>
        <v>0</v>
      </c>
      <c r="CG156" s="122" t="str">
        <f t="shared" ref="CG156:CG185" si="309">IF(CC156&lt;=0,"",IF(CF156&lt;=0,"","JA"))</f>
        <v/>
      </c>
      <c r="CH156" s="140">
        <f t="shared" ref="CH156:CH185" si="310">IF(CB156&lt;=0,0,IF(AND(CB156&gt;0,CB156&lt;=1,CG156="JA")=TRUE,CB156,100%))</f>
        <v>1</v>
      </c>
      <c r="CI156" s="142">
        <f t="shared" ref="CI156:CI185" si="311">CI155+CJ155</f>
        <v>9984</v>
      </c>
      <c r="CJ156" s="134">
        <f>CI156*$C$57</f>
        <v>0</v>
      </c>
      <c r="CK156" s="142">
        <f t="shared" ref="CK156:CK185" si="312">CK155+CL155</f>
        <v>14926</v>
      </c>
      <c r="CL156" s="134">
        <f>CK156*$C$57</f>
        <v>0</v>
      </c>
      <c r="CM156" s="142">
        <f t="shared" ref="CM156:CM185" si="313">CM155+CN155</f>
        <v>58596</v>
      </c>
      <c r="CN156" s="134">
        <f>CM156*$C$57</f>
        <v>0</v>
      </c>
      <c r="CO156" s="132">
        <f t="shared" ref="CO156:CO185" si="314">CA156*CH156</f>
        <v>117567.2270131316</v>
      </c>
      <c r="CP156" s="140">
        <f t="shared" ref="CP156:CP185" si="315">IF(CO156&lt;=0,0,IF(CO156&gt;CM156,$CM$66,IF(AND(CO156&gt;=CI156,CO156&lt;=CK156),($CK$66-$CI$66)/(CK156-CI156)*(CO156-CI156)+$CI$66,IF(AND(CO156&gt;=CK156,CO156&lt;=CM156),($CM$66-$CK$66)/(CM156-CK156)*(CO156-CK156)+$CK$66,0))))</f>
        <v>0.42</v>
      </c>
      <c r="CQ156" s="121" t="str">
        <f>IF($C$50="NEIN","NEIN",IF(CS156&lt;CR156,"JA","NEIN"))</f>
        <v>NEIN</v>
      </c>
      <c r="CR156" s="121">
        <f>CO156*$C$46</f>
        <v>31008.35612471346</v>
      </c>
      <c r="CS156" s="121">
        <f t="shared" ref="CS156:CS185" si="316">IF(CO156&lt;=0,0,IF(CO156&gt;CM156,$CM$66*CO156-9267.53,IF(AND(CO156&gt;=CI156,CO156&lt;=CK156),(1008.7*((CO156-CI156)/10000)+1400)*((CO156-CI156)/10000),IF(AND(CO156&gt;=CK156,CO156&lt;=CM156),(206.43*((CO156-CK156)/10000)+2397)*((CO156-CK156)/10000)+938.24,0))))</f>
        <v>40110.705345515271</v>
      </c>
      <c r="CT156" s="201">
        <f>IF($C$50="NEIN",CR156,IF(CQ156="NEIN",CR156,CS156))</f>
        <v>31008.35612471346</v>
      </c>
      <c r="CU156" s="149"/>
      <c r="CV156" s="202">
        <f t="shared" ref="CV156:CV185" si="317">CV155+CW155</f>
        <v>9984</v>
      </c>
      <c r="CW156" s="134">
        <f>CV156*$C$57</f>
        <v>0</v>
      </c>
      <c r="CX156" s="142">
        <f t="shared" ref="CX156:CX185" si="318">CX155+CY155</f>
        <v>14926</v>
      </c>
      <c r="CY156" s="134">
        <f>CX156*$C$57</f>
        <v>0</v>
      </c>
      <c r="CZ156" s="142">
        <f t="shared" ref="CZ156:CZ185" si="319">CZ155+DA155</f>
        <v>58596</v>
      </c>
      <c r="DA156" s="143">
        <f>CZ156*$C$57</f>
        <v>0</v>
      </c>
      <c r="DB156" s="165">
        <f t="shared" ref="DB156:DB185" si="320">IF(BB156-BD156&lt;0,0,BB156-BD156)</f>
        <v>117567.2270131316</v>
      </c>
      <c r="DC156" s="140">
        <f t="shared" ref="DC156:DC185" si="321">IF(DB156&lt;=0,0,IF(DB156&gt;CZ156,$CZ$76,IF(AND(DB156&gt;=CV156,DB156&lt;=CX156),($CX$76-$CV$76)/(CX156-CV156)*(DB156-CV156)+$CV$76,IF(AND(DB156&gt;=CX156,DB156&lt;=CZ156),($CZ$76-$CX$76)/(CZ156-CX156)*(DB156-CX156)+$CX$76,0))))</f>
        <v>0.42</v>
      </c>
      <c r="DD156" s="121" t="str">
        <f>IF($C$50="NEIN","NEIN",IF(DF156&lt;DE156,"JA","NEIN"))</f>
        <v>NEIN</v>
      </c>
      <c r="DE156" s="121">
        <f>DB156*$C$46</f>
        <v>31008.35612471346</v>
      </c>
      <c r="DF156" s="121">
        <f t="shared" ref="DF156:DF185" si="322">IF(DB156&lt;=0,0,IF(DB156&gt;CZ156,$CZ$76*DB156-9267.53,IF(AND(DB156&gt;=CV156,DB156&lt;=CX156),(1008.7*((DB156-CV156)/10000)+1400)*((DB156-CV156)/10000),IF(AND(DB156&gt;=CX156,DB156&lt;=CZ156),(206.43*((DB156-CX156)/10000)+2397)*((DB156-CX156)/10000)+938.24,0))))</f>
        <v>40110.705345515271</v>
      </c>
      <c r="DG156" s="201">
        <f>IF($C$50="NEIN",DE156,IF(DD156="NEIN",DE156,DF156))</f>
        <v>31008.35612471346</v>
      </c>
      <c r="DH156" s="159"/>
      <c r="DI156" s="74"/>
      <c r="DJ156" s="74"/>
      <c r="DK156" s="128"/>
      <c r="DL156" s="128"/>
      <c r="DM156" s="128"/>
      <c r="DN156" s="74"/>
      <c r="DO156" s="28">
        <f t="shared" si="247"/>
        <v>2097</v>
      </c>
      <c r="DP156" s="17">
        <f>IF($C$13+$C$10&gt;=DO156,-AG156,IF(DO156=$C$13+$C$10+1,$EK$93,0))</f>
        <v>0</v>
      </c>
      <c r="DQ156" s="17">
        <f t="shared" si="248"/>
        <v>9595555.1861176267</v>
      </c>
      <c r="DR156" s="17">
        <f t="shared" si="249"/>
        <v>34502783.816866308</v>
      </c>
      <c r="DS156" s="17">
        <f t="shared" si="223"/>
        <v>574348.14853933407</v>
      </c>
      <c r="DT156" s="17">
        <f t="shared" si="191"/>
        <v>37532531.202984042</v>
      </c>
      <c r="DU156" s="17">
        <f t="shared" si="250"/>
        <v>2455399.2375783995</v>
      </c>
      <c r="DV156" s="33">
        <f t="shared" si="192"/>
        <v>17187.794663048764</v>
      </c>
      <c r="DW156" s="32">
        <f t="shared" si="193"/>
        <v>750650.62405968085</v>
      </c>
      <c r="DX156" s="17">
        <f t="shared" si="251"/>
        <v>0</v>
      </c>
      <c r="DY156" s="17">
        <f t="shared" si="252"/>
        <v>0</v>
      </c>
      <c r="DZ156" s="17">
        <f t="shared" si="194"/>
        <v>0</v>
      </c>
      <c r="EA156" s="17">
        <f t="shared" si="224"/>
        <v>138377.60771701857</v>
      </c>
      <c r="EB156" s="15">
        <f t="shared" si="225"/>
        <v>612273.01634266227</v>
      </c>
      <c r="EC156" s="15">
        <f>IF(DP156=0,EC155,IF(DO156&lt;=$EK$88+$C$10,ABS(DP156)+EC155,EC155))</f>
        <v>430891.77838569693</v>
      </c>
      <c r="ED156" s="15">
        <f t="shared" si="253"/>
        <v>2193996.9793423526</v>
      </c>
      <c r="EE156" s="16">
        <f t="shared" si="254"/>
        <v>37532531.202984042</v>
      </c>
      <c r="EF156" s="15">
        <f t="shared" si="195"/>
        <v>574348.14853933407</v>
      </c>
      <c r="EG156" s="15">
        <f t="shared" si="255"/>
        <v>9164663.4077319261</v>
      </c>
      <c r="EH156" s="16"/>
      <c r="EI156" s="16"/>
      <c r="EJ156"/>
      <c r="EK156"/>
      <c r="EL156"/>
      <c r="EM156" s="28">
        <f t="shared" si="256"/>
        <v>2097</v>
      </c>
      <c r="EN156" s="29">
        <f>IF($C$13+$C$10&gt;=EM156,-(AG156),IF(EM156=$C$13+$C$10+1,$FB$93,0))</f>
        <v>0</v>
      </c>
      <c r="EO156" s="30">
        <f t="shared" si="257"/>
        <v>385224.94599701348</v>
      </c>
      <c r="EP156" s="30">
        <f t="shared" si="258"/>
        <v>44751464.538936675</v>
      </c>
      <c r="EQ156" s="30">
        <f t="shared" si="226"/>
        <v>-3783.6422232201676</v>
      </c>
      <c r="ER156" s="25">
        <f t="shared" si="196"/>
        <v>47880018.559483401</v>
      </c>
      <c r="ES156" s="30">
        <f t="shared" si="259"/>
        <v>3132337.6627699435</v>
      </c>
      <c r="ET156" s="26">
        <f t="shared" si="197"/>
        <v>21926.363639389594</v>
      </c>
      <c r="EU156" s="30">
        <f t="shared" si="260"/>
        <v>21926.363639389594</v>
      </c>
      <c r="EV156" s="25">
        <f t="shared" si="198"/>
        <v>4048.1548869223034</v>
      </c>
      <c r="EW156" s="31">
        <f t="shared" si="261"/>
        <v>332463.55529440433</v>
      </c>
      <c r="EX156" s="27">
        <f>IF(EM156=0,EX155,IF(EM156&lt;=$FB$88+$C$10,ABS(EN156)+EX155,EX155))</f>
        <v>430891.77838569693</v>
      </c>
      <c r="EY156" s="15"/>
      <c r="EZ156"/>
      <c r="FA156"/>
      <c r="FB156"/>
      <c r="FC156" s="74"/>
      <c r="FD156" s="74"/>
      <c r="FE156" s="74"/>
      <c r="FF156" s="74"/>
      <c r="FG156" s="74"/>
      <c r="FH156" s="74"/>
      <c r="FI156" s="74"/>
      <c r="FJ156" s="28">
        <f t="shared" si="262"/>
        <v>2097</v>
      </c>
      <c r="FK156" s="65">
        <f>IF($C$13+$C$10&gt;=FJ156,-AG156,IF(FJ156=$C$13+$C$10+1,$EK$93,0))</f>
        <v>0</v>
      </c>
      <c r="FL156" s="65">
        <f t="shared" si="263"/>
        <v>74118.803999999975</v>
      </c>
      <c r="FM156" s="65">
        <f t="shared" si="264"/>
        <v>2603737.014165476</v>
      </c>
      <c r="FN156" s="65">
        <f t="shared" si="227"/>
        <v>0</v>
      </c>
      <c r="FO156" s="65">
        <f t="shared" si="199"/>
        <v>2785998.6051570596</v>
      </c>
      <c r="FP156" s="65">
        <f t="shared" si="265"/>
        <v>182261.59099158365</v>
      </c>
      <c r="FQ156" s="59">
        <f t="shared" si="200"/>
        <v>1275.8311369410831</v>
      </c>
      <c r="FR156" s="60">
        <f t="shared" si="201"/>
        <v>55719.97210314119</v>
      </c>
      <c r="FS156" s="65">
        <f t="shared" si="266"/>
        <v>0</v>
      </c>
      <c r="FT156" s="65">
        <f t="shared" si="267"/>
        <v>0</v>
      </c>
      <c r="FU156" s="65">
        <f t="shared" si="202"/>
        <v>0</v>
      </c>
      <c r="FV156" s="65">
        <f t="shared" si="228"/>
        <v>10076.036099542442</v>
      </c>
      <c r="FW156" s="61">
        <f t="shared" si="229"/>
        <v>45643.936003598748</v>
      </c>
      <c r="FX156" s="61">
        <f>IF(AND(FJ156&lt;=$GF$88+$C$10,FV155&lt;=0,FN156&gt;0),(FJ156-$C$10+1)*AG156+$GF$80,FX155)</f>
        <v>73074.599999999977</v>
      </c>
      <c r="FY156" s="62">
        <f t="shared" si="230"/>
        <v>47.69410795530441</v>
      </c>
      <c r="FZ156" s="63">
        <f t="shared" si="268"/>
        <v>2785998.6051570596</v>
      </c>
      <c r="GA156" s="64">
        <f t="shared" si="269"/>
        <v>53137.490085009711</v>
      </c>
      <c r="GB156" s="64">
        <f t="shared" si="270"/>
        <v>1113864.8085913809</v>
      </c>
      <c r="GC156" s="66">
        <f t="shared" si="203"/>
        <v>0</v>
      </c>
      <c r="GD156" s="64">
        <f t="shared" si="271"/>
        <v>1580.6039999999994</v>
      </c>
      <c r="GE156"/>
      <c r="GF156"/>
      <c r="GG156" s="74"/>
      <c r="GH156" s="74"/>
      <c r="GI156" s="28">
        <f t="shared" si="272"/>
        <v>2097</v>
      </c>
      <c r="GJ156" s="9">
        <f>IF($GX$88+$C$10&gt;=GI156,-AG156,IF(GI156=$GX$88+$C$10+1,$FB$93,0))</f>
        <v>0</v>
      </c>
      <c r="GK156" s="5">
        <f t="shared" si="273"/>
        <v>1229780.623292485</v>
      </c>
      <c r="GL156" s="5">
        <f t="shared" si="274"/>
        <v>40756536.821283154</v>
      </c>
      <c r="GM156" s="35">
        <f t="shared" si="231"/>
        <v>40092.365242823296</v>
      </c>
      <c r="GN156" s="4">
        <f t="shared" si="204"/>
        <v>43652393.229582801</v>
      </c>
      <c r="GO156" s="5">
        <f t="shared" si="275"/>
        <v>2855764.0430568233</v>
      </c>
      <c r="GP156" s="5">
        <f t="shared" si="205"/>
        <v>19990.348301397727</v>
      </c>
      <c r="GQ156" s="5">
        <f t="shared" si="276"/>
        <v>19990.348301397727</v>
      </c>
      <c r="GR156" s="4">
        <f t="shared" si="206"/>
        <v>3690.7180551455549</v>
      </c>
      <c r="GS156" s="7">
        <f t="shared" si="277"/>
        <v>296958.28824403195</v>
      </c>
      <c r="GT156" s="107" t="e">
        <f>IF($DG$62=0,EX156,IF(GI156-$C$10+1&lt;=$GF$98,0,#REF!-FX156))</f>
        <v>#REF!</v>
      </c>
      <c r="GU156"/>
      <c r="GV156"/>
      <c r="GW156"/>
      <c r="GX156"/>
      <c r="GY156" s="74"/>
      <c r="GZ156" s="74"/>
      <c r="HA156" s="74"/>
      <c r="HB156" s="74"/>
      <c r="HC156" s="74"/>
      <c r="HD156" s="74"/>
    </row>
    <row r="157" spans="2:212" ht="16.149999999999999" thickBot="1" x14ac:dyDescent="0.55000000000000004">
      <c r="B157" s="333"/>
      <c r="C157" s="75"/>
      <c r="D157" s="75"/>
      <c r="F157" s="75"/>
      <c r="G157" s="75"/>
      <c r="H157" s="75"/>
      <c r="I157" s="75"/>
      <c r="J157" s="75"/>
      <c r="K157" s="75"/>
      <c r="L157" s="75"/>
      <c r="M157" s="75"/>
      <c r="O157" s="75"/>
      <c r="P157" s="75"/>
      <c r="Q157" s="75"/>
      <c r="R157" s="75"/>
      <c r="S157" s="290"/>
      <c r="T157" s="291"/>
      <c r="U157" s="291"/>
      <c r="V157" s="292"/>
      <c r="W157" s="292"/>
      <c r="AB157" s="117">
        <f t="shared" si="207"/>
        <v>105</v>
      </c>
      <c r="AC157" s="117">
        <f t="shared" si="208"/>
        <v>2098</v>
      </c>
      <c r="AD157" s="299">
        <f>IF($C$20="NEIN",$C$21,IF($C$22="JA",'HISTORISCHE RENDITEN'!E81,'HISTORISCHE RENDITEN'!D81))</f>
        <v>0.30809999999999998</v>
      </c>
      <c r="AE157" s="129">
        <f t="shared" si="278"/>
        <v>105</v>
      </c>
      <c r="AF157" s="120">
        <f t="shared" si="280"/>
        <v>2098</v>
      </c>
      <c r="AG157" s="122">
        <f t="shared" si="281"/>
        <v>0</v>
      </c>
      <c r="AH157" s="124">
        <f t="shared" si="282"/>
        <v>430891.77838569693</v>
      </c>
      <c r="AI157" s="296">
        <f t="shared" si="283"/>
        <v>-530323.44900090748</v>
      </c>
      <c r="AJ157" s="123">
        <f t="shared" si="233"/>
        <v>0</v>
      </c>
      <c r="AK157" s="124">
        <f t="shared" si="284"/>
        <v>-693716.10363808705</v>
      </c>
      <c r="AL157" s="122">
        <f t="shared" si="285"/>
        <v>-163392.65463717957</v>
      </c>
      <c r="AM157" s="122" t="b">
        <f>IF($C$25="Ausschütter",0,IF(AL157&gt;=0,(AI157+AJ157)*$C$48*0.7))</f>
        <v>0</v>
      </c>
      <c r="AN157" s="122">
        <f t="shared" si="177"/>
        <v>0</v>
      </c>
      <c r="AO157" s="122">
        <f t="shared" si="212"/>
        <v>0</v>
      </c>
      <c r="AP157" s="122">
        <f t="shared" si="286"/>
        <v>22574.024192443576</v>
      </c>
      <c r="AQ157" s="122">
        <f>IF($C$25="AUSSCHÜTTER",0,IF(AO157*$C$46*$C$49&lt;=$C$47,0,AO157*$C$46*$C$49))</f>
        <v>0</v>
      </c>
      <c r="AR157" s="122">
        <f>IF(AO156*$C$49&gt;$C$47,(AN157)*$C$49*$C$46,IF((AO156+AN157)*$C$49&gt;$C$47,((AO156+AN157)*$C$49-$C$47)*$C$46,0))</f>
        <v>0</v>
      </c>
      <c r="AS157" s="122">
        <f t="shared" si="287"/>
        <v>0</v>
      </c>
      <c r="AT157" s="122">
        <f t="shared" si="288"/>
        <v>430891.77838569693</v>
      </c>
      <c r="AU157" s="122">
        <f t="shared" si="289"/>
        <v>0</v>
      </c>
      <c r="AV157" s="122">
        <f t="shared" si="290"/>
        <v>-693716.10363808705</v>
      </c>
      <c r="AW157" s="122">
        <f t="shared" si="214"/>
        <v>0</v>
      </c>
      <c r="AX157" s="130">
        <f t="shared" si="215"/>
        <v>0</v>
      </c>
      <c r="AY157" s="82">
        <f>IF(AF157&lt;$C$11,$C$15*(1+$C$19)^(AF157-$C$10),0)</f>
        <v>0</v>
      </c>
      <c r="AZ157" s="82">
        <f>$C$14*(1+$C$37)^(AF157-$C$10)</f>
        <v>120506.40768845991</v>
      </c>
      <c r="BA157" s="165">
        <f>IF(AF157&lt;$C$11,0,MAX($C$38*AI157,AZ157))</f>
        <v>120506.40768845991</v>
      </c>
      <c r="BB157" s="82">
        <f>IF(AF157&lt;$C$11,0,MAX($C$38*AI157,AZ157))</f>
        <v>120506.40768845991</v>
      </c>
      <c r="BC157" s="136">
        <f>IF($C$39="JA",CT157,DG157)</f>
        <v>31783.565027831297</v>
      </c>
      <c r="BD157" s="82">
        <f t="shared" si="178"/>
        <v>0</v>
      </c>
      <c r="BE157" s="82">
        <f>IF(AF157&lt;($C$8+$C$30),0,$C$29*12*(1-$C$31))</f>
        <v>0</v>
      </c>
      <c r="BF157" s="82">
        <f>IF(AF157&lt;($C$8+$C$34),0,$C$33*12*(1-$C$35))</f>
        <v>0</v>
      </c>
      <c r="BG157" s="82">
        <f>IF(AF157&lt;$C$11,0,IF(AI157&lt;0,$C$42*(1+$C$44)^(AF157-$C$10),IF(((AL157+BE157+BF157)*$C$41)&lt;$C$42*(1+$C$44)^(AF157-$C$10),$C$42*(1+$C$44)^(AF157-$C$10),IF(((AL157+BE157+BF157)*$C$41)&lt;$C$43*(1+$C$44)^(AF157-$C$10),(AL157+BE157+BF157)*$C$41,IF(((AL157+BE157+BF157+BB157)*$C$41)&lt;$C$43*(1+$C$44)^(AF157-$C$10),((AL157+BE157+BF157+BB157)*$C$41),$C$43*(1+$C$44)^(AF157-$C$10))))))</f>
        <v>7552.6001852869158</v>
      </c>
      <c r="BH157" s="82">
        <f t="shared" si="238"/>
        <v>159842.57290157813</v>
      </c>
      <c r="BI157" s="242">
        <f t="shared" si="291"/>
        <v>-693716.10363808705</v>
      </c>
      <c r="BJ157" s="217">
        <f t="shared" si="292"/>
        <v>-853558.6765396652</v>
      </c>
      <c r="BK157" s="118"/>
      <c r="BL157" s="219">
        <f t="shared" si="293"/>
        <v>61</v>
      </c>
      <c r="BM157" s="220">
        <f t="shared" si="294"/>
        <v>78</v>
      </c>
      <c r="BN157" s="220">
        <f t="shared" si="295"/>
        <v>0</v>
      </c>
      <c r="BO157" s="221">
        <f t="shared" si="296"/>
        <v>0</v>
      </c>
      <c r="BP157" s="221">
        <f t="shared" si="297"/>
        <v>0</v>
      </c>
      <c r="BQ157" s="222">
        <f t="shared" si="298"/>
        <v>0</v>
      </c>
      <c r="BR157" s="223">
        <f>IF(BM157&lt;$C$11-$C$10+1,0,IF(BL157&lt;=$C$13,VLOOKUP(BL157,$BN$80:$BQ$156,2,FALSE)-BS157,0))</f>
        <v>0</v>
      </c>
      <c r="BS157" s="223">
        <f>IF(BM157&lt;$C$11-$C$10+1,0,IF(BL157&lt;=$C$13,VLOOKUP(BL157,$BN$80:$BQ$156,3,FALSE),0))</f>
        <v>0</v>
      </c>
      <c r="BT157" s="222">
        <f>IF(BM157&lt;$C$11-$C$10+1,0,IF(BL157&lt;=$C$13,VLOOKUP(BL157,$BN$80:$BQ$156,4,FALSE),0))</f>
        <v>0</v>
      </c>
      <c r="BU157" s="223">
        <f t="shared" si="299"/>
        <v>0</v>
      </c>
      <c r="BV157" s="223">
        <f t="shared" si="300"/>
        <v>0</v>
      </c>
      <c r="BW157" s="223">
        <f t="shared" si="301"/>
        <v>0</v>
      </c>
      <c r="BX157" s="223">
        <f>IF(AND(BS157&lt;=0,BN157=0),MIN((MAX($BZ$80:$BZ$156)-SUM($BX$80:BX156)),CA157),IF(BS157&lt;CA157,BS157,CA157))</f>
        <v>0</v>
      </c>
      <c r="BY157" s="222">
        <f>IF(BN157&gt;0,0,IF(AND(BN157=0,BT157&lt;=0),100%,((BW156*(AVERAGE($BT$80:BT156))+(BR157*BT157))/(BR157+BW156+BS157+BV156))))</f>
        <v>1</v>
      </c>
      <c r="BZ157" s="139">
        <f t="shared" si="302"/>
        <v>430891.77838569693</v>
      </c>
      <c r="CA157" s="122">
        <f t="shared" si="303"/>
        <v>120506.40768845991</v>
      </c>
      <c r="CB157" s="181">
        <f t="shared" si="304"/>
        <v>1</v>
      </c>
      <c r="CC157" s="122">
        <f t="shared" si="305"/>
        <v>4033005.2646494918</v>
      </c>
      <c r="CD157" s="182">
        <f t="shared" si="306"/>
        <v>0</v>
      </c>
      <c r="CE157" s="122">
        <f t="shared" si="307"/>
        <v>430891.77838569693</v>
      </c>
      <c r="CF157" s="122">
        <f t="shared" si="308"/>
        <v>0</v>
      </c>
      <c r="CG157" s="122" t="str">
        <f t="shared" si="309"/>
        <v/>
      </c>
      <c r="CH157" s="140">
        <f t="shared" si="310"/>
        <v>1</v>
      </c>
      <c r="CI157" s="142">
        <f t="shared" si="311"/>
        <v>9984</v>
      </c>
      <c r="CJ157" s="134">
        <f>CI157*$C$57</f>
        <v>0</v>
      </c>
      <c r="CK157" s="142">
        <f t="shared" si="312"/>
        <v>14926</v>
      </c>
      <c r="CL157" s="134">
        <f>CK157*$C$57</f>
        <v>0</v>
      </c>
      <c r="CM157" s="142">
        <f t="shared" si="313"/>
        <v>58596</v>
      </c>
      <c r="CN157" s="134">
        <f>CM157*$C$57</f>
        <v>0</v>
      </c>
      <c r="CO157" s="132">
        <f t="shared" si="314"/>
        <v>120506.40768845991</v>
      </c>
      <c r="CP157" s="140">
        <f t="shared" si="315"/>
        <v>0.42</v>
      </c>
      <c r="CQ157" s="121" t="str">
        <f>IF($C$50="NEIN","NEIN",IF(CS157&lt;CR157,"JA","NEIN"))</f>
        <v>NEIN</v>
      </c>
      <c r="CR157" s="121">
        <f>CO157*$C$46</f>
        <v>31783.565027831297</v>
      </c>
      <c r="CS157" s="121">
        <f t="shared" si="316"/>
        <v>41345.161229153156</v>
      </c>
      <c r="CT157" s="201">
        <f>IF($C$50="NEIN",CR157,IF(CQ157="NEIN",CR157,CS157))</f>
        <v>31783.565027831297</v>
      </c>
      <c r="CU157" s="149"/>
      <c r="CV157" s="202">
        <f t="shared" si="317"/>
        <v>9984</v>
      </c>
      <c r="CW157" s="134">
        <f>CV157*$C$57</f>
        <v>0</v>
      </c>
      <c r="CX157" s="142">
        <f t="shared" si="318"/>
        <v>14926</v>
      </c>
      <c r="CY157" s="134">
        <f>CX157*$C$57</f>
        <v>0</v>
      </c>
      <c r="CZ157" s="142">
        <f t="shared" si="319"/>
        <v>58596</v>
      </c>
      <c r="DA157" s="143">
        <f>CZ157*$C$57</f>
        <v>0</v>
      </c>
      <c r="DB157" s="165">
        <f t="shared" si="320"/>
        <v>120506.40768845991</v>
      </c>
      <c r="DC157" s="140">
        <f t="shared" si="321"/>
        <v>0.42</v>
      </c>
      <c r="DD157" s="121" t="str">
        <f>IF($C$50="NEIN","NEIN",IF(DF157&lt;DE157,"JA","NEIN"))</f>
        <v>NEIN</v>
      </c>
      <c r="DE157" s="121">
        <f>DB157*$C$46</f>
        <v>31783.565027831297</v>
      </c>
      <c r="DF157" s="121">
        <f t="shared" si="322"/>
        <v>41345.161229153156</v>
      </c>
      <c r="DG157" s="201">
        <f>IF($C$50="NEIN",DE157,IF(DD157="NEIN",DE157,DF157))</f>
        <v>31783.565027831297</v>
      </c>
      <c r="DH157" s="97"/>
      <c r="DI157" s="125"/>
      <c r="DN157" s="75"/>
      <c r="DO157" s="28">
        <f t="shared" si="247"/>
        <v>2098</v>
      </c>
      <c r="DP157" s="17">
        <f>IF($C$13+$C$10&gt;=DO157,-#REF!,IF(DO157=$C$13+$C$10+1,$EK$93,0))</f>
        <v>0</v>
      </c>
      <c r="DQ157" s="17" t="e">
        <f t="shared" si="248"/>
        <v>#REF!</v>
      </c>
      <c r="DR157" s="17">
        <f t="shared" si="249"/>
        <v>36781880.578924358</v>
      </c>
      <c r="DS157" s="17" t="e">
        <f>#REF!+EB156</f>
        <v>#REF!</v>
      </c>
      <c r="DT157" s="17" t="e">
        <f t="shared" si="191"/>
        <v>#REF!</v>
      </c>
      <c r="DU157" s="17" t="e">
        <f t="shared" si="250"/>
        <v>#REF!</v>
      </c>
      <c r="DV157" s="33" t="e">
        <f t="shared" si="192"/>
        <v>#REF!</v>
      </c>
      <c r="DW157" s="32" t="e">
        <f t="shared" si="193"/>
        <v>#REF!</v>
      </c>
      <c r="DX157" s="17" t="e">
        <f t="shared" si="251"/>
        <v>#REF!</v>
      </c>
      <c r="DY157" s="17" t="e">
        <f t="shared" si="252"/>
        <v>#REF!</v>
      </c>
      <c r="DZ157" s="17" t="e">
        <f t="shared" si="194"/>
        <v>#REF!</v>
      </c>
      <c r="EA157" s="17" t="e">
        <f t="shared" si="224"/>
        <v>#REF!</v>
      </c>
      <c r="EB157" s="15" t="e">
        <f t="shared" si="225"/>
        <v>#REF!</v>
      </c>
      <c r="EC157" s="15">
        <f>IF(DP157=0,EC156,IF(DO157&lt;=$EK$88+$C$10,ABS(DP157)+EC156,EC156))</f>
        <v>430891.77838569693</v>
      </c>
      <c r="ED157" s="15" t="e">
        <f t="shared" si="253"/>
        <v>#REF!</v>
      </c>
      <c r="EE157" s="16" t="e">
        <f t="shared" si="254"/>
        <v>#REF!</v>
      </c>
      <c r="EF157" s="15" t="e">
        <f>IF(DS157&lt;=0,0,DS157-#REF!)</f>
        <v>#REF!</v>
      </c>
      <c r="EG157" s="15" t="e">
        <f t="shared" si="255"/>
        <v>#REF!</v>
      </c>
      <c r="EH157" s="16"/>
      <c r="EI157" s="16"/>
      <c r="EJ157"/>
      <c r="EK157"/>
      <c r="EL157"/>
      <c r="EM157" s="28">
        <f t="shared" si="256"/>
        <v>2098</v>
      </c>
      <c r="EN157" s="29">
        <f>IF($C$13+$C$10&gt;=EM157,-(#REF!),IF(EM157=$C$13+$C$10+1,$FB$93,0))</f>
        <v>0</v>
      </c>
      <c r="EO157" s="30" t="e">
        <f t="shared" si="257"/>
        <v>#REF!</v>
      </c>
      <c r="EP157" s="30">
        <f t="shared" si="258"/>
        <v>47880018.559483401</v>
      </c>
      <c r="EQ157" s="30" t="e">
        <f>#REF!-EV156</f>
        <v>#REF!</v>
      </c>
      <c r="ER157" s="25" t="e">
        <f t="shared" si="196"/>
        <v>#REF!</v>
      </c>
      <c r="ES157" s="30" t="e">
        <f t="shared" si="259"/>
        <v>#REF!</v>
      </c>
      <c r="ET157" s="26" t="e">
        <f t="shared" si="197"/>
        <v>#REF!</v>
      </c>
      <c r="EU157" s="30" t="e">
        <f t="shared" si="260"/>
        <v>#REF!</v>
      </c>
      <c r="EV157" s="25" t="e">
        <f t="shared" si="198"/>
        <v>#REF!</v>
      </c>
      <c r="EW157" s="31" t="e">
        <f t="shared" si="261"/>
        <v>#REF!</v>
      </c>
      <c r="EX157" s="27">
        <f>IF(EM157=0,EX156,IF(EM157&lt;=$FB$88+$C$10,ABS(EN157)+EX156,EX156))</f>
        <v>430891.77838569693</v>
      </c>
      <c r="EY157" s="15"/>
      <c r="EZ157"/>
      <c r="FA157"/>
      <c r="FB157"/>
      <c r="FJ157" s="28">
        <f t="shared" si="262"/>
        <v>2098</v>
      </c>
      <c r="FK157" s="65">
        <f>IF($C$13+$C$10&gt;=FJ157,-#REF!,IF(FJ157=$C$13+$C$10+1,$EK$93,0))</f>
        <v>0</v>
      </c>
      <c r="FL157" s="65">
        <f t="shared" si="263"/>
        <v>74118.803999999975</v>
      </c>
      <c r="FM157" s="65">
        <f t="shared" si="264"/>
        <v>2730278.6330539184</v>
      </c>
      <c r="FN157" s="65">
        <f>IF(FY156&gt;=$GF$97,0,#REF!+FW156)</f>
        <v>0</v>
      </c>
      <c r="FO157" s="65">
        <f t="shared" si="199"/>
        <v>2921398.1373676928</v>
      </c>
      <c r="FP157" s="65">
        <f t="shared" si="265"/>
        <v>191119.50431377441</v>
      </c>
      <c r="FQ157" s="59">
        <f t="shared" si="200"/>
        <v>1337.83653019642</v>
      </c>
      <c r="FR157" s="60">
        <f t="shared" si="201"/>
        <v>58427.962747353857</v>
      </c>
      <c r="FS157" s="65">
        <f t="shared" si="266"/>
        <v>0</v>
      </c>
      <c r="FT157" s="65">
        <f t="shared" si="267"/>
        <v>0</v>
      </c>
      <c r="FU157" s="65">
        <f t="shared" si="202"/>
        <v>0</v>
      </c>
      <c r="FV157" s="65">
        <f t="shared" si="228"/>
        <v>10575.998872230204</v>
      </c>
      <c r="FW157" s="61">
        <f t="shared" si="229"/>
        <v>47851.963875123649</v>
      </c>
      <c r="FX157" s="61">
        <f>IF(AND(FJ157&lt;=$GF$88+$C$10,FV156&lt;=0,FN157&gt;0),(FJ157-$C$10+1)*#REF!+$GF$80,FX156)</f>
        <v>73074.599999999977</v>
      </c>
      <c r="FY157" s="62">
        <f t="shared" si="230"/>
        <v>50.060641601932204</v>
      </c>
      <c r="FZ157" s="63">
        <f t="shared" si="268"/>
        <v>2921398.1373676928</v>
      </c>
      <c r="GA157" s="64">
        <f t="shared" si="269"/>
        <v>55719.97210314119</v>
      </c>
      <c r="GB157" s="64">
        <f t="shared" si="270"/>
        <v>1169584.7806945222</v>
      </c>
      <c r="GC157" s="66">
        <f>IF(FN157&lt;=0,0,FN157-#REF!)</f>
        <v>0</v>
      </c>
      <c r="GD157" s="64">
        <f t="shared" si="271"/>
        <v>1580.6039999999994</v>
      </c>
      <c r="GE157"/>
      <c r="GF157"/>
      <c r="GI157" s="28">
        <f t="shared" si="272"/>
        <v>2098</v>
      </c>
      <c r="GJ157" s="9">
        <f>IF($GX$88+$C$10&gt;=GI157,-#REF!,IF(GI157=$GX$88+$C$10+1,$FB$93,0))</f>
        <v>0</v>
      </c>
      <c r="GK157" s="5" t="e">
        <f t="shared" si="273"/>
        <v>#REF!</v>
      </c>
      <c r="GL157" s="5">
        <f t="shared" si="274"/>
        <v>43652393.229582801</v>
      </c>
      <c r="GM157" s="35" t="e">
        <f>IF(FX156=$GF$94,#REF!-GR156+FW156,0)</f>
        <v>#REF!</v>
      </c>
      <c r="GN157" s="4" t="e">
        <f t="shared" si="204"/>
        <v>#REF!</v>
      </c>
      <c r="GO157" s="5" t="e">
        <f t="shared" si="275"/>
        <v>#REF!</v>
      </c>
      <c r="GP157" s="5" t="e">
        <f t="shared" si="205"/>
        <v>#REF!</v>
      </c>
      <c r="GQ157" s="5" t="e">
        <f t="shared" si="276"/>
        <v>#REF!</v>
      </c>
      <c r="GR157" s="4" t="e">
        <f t="shared" si="206"/>
        <v>#REF!</v>
      </c>
      <c r="GS157" s="7" t="e">
        <f t="shared" si="277"/>
        <v>#REF!</v>
      </c>
      <c r="GT157" s="107" t="e">
        <f>IF($DG$62=0,EX157,IF(GI157-$C$10+1&lt;=$GF$98,0,#REF!-FX157))</f>
        <v>#REF!</v>
      </c>
      <c r="GU157"/>
      <c r="GV157"/>
      <c r="GW157"/>
      <c r="GX157"/>
    </row>
    <row r="158" spans="2:212" ht="16.149999999999999" thickBot="1" x14ac:dyDescent="0.55000000000000004">
      <c r="B158" s="333"/>
      <c r="C158" s="75"/>
      <c r="D158" s="75"/>
      <c r="F158" s="75"/>
      <c r="G158" s="75"/>
      <c r="H158" s="75"/>
      <c r="I158" s="75"/>
      <c r="J158" s="75"/>
      <c r="K158" s="75"/>
      <c r="L158" s="75"/>
      <c r="M158" s="75"/>
      <c r="O158" s="75"/>
      <c r="P158" s="75"/>
      <c r="Q158" s="75"/>
      <c r="R158" s="75"/>
      <c r="S158" s="290"/>
      <c r="T158" s="291"/>
      <c r="U158" s="291"/>
      <c r="V158" s="292"/>
      <c r="W158" s="292"/>
      <c r="AB158" s="117">
        <f t="shared" si="207"/>
        <v>106</v>
      </c>
      <c r="AC158" s="117">
        <f t="shared" si="208"/>
        <v>2099</v>
      </c>
      <c r="AD158" s="299">
        <f>IF($C$20="NEIN",$C$21,IF($C$22="JA",'HISTORISCHE RENDITEN'!E82,'HISTORISCHE RENDITEN'!D82))</f>
        <v>0.12839999999999999</v>
      </c>
      <c r="AE158" s="129">
        <f t="shared" si="278"/>
        <v>106</v>
      </c>
      <c r="AF158" s="120">
        <f t="shared" si="280"/>
        <v>2099</v>
      </c>
      <c r="AG158" s="122">
        <f t="shared" si="281"/>
        <v>0</v>
      </c>
      <c r="AH158" s="124">
        <f t="shared" si="282"/>
        <v>430891.77838569693</v>
      </c>
      <c r="AI158" s="296">
        <f t="shared" si="283"/>
        <v>-853558.6765396652</v>
      </c>
      <c r="AJ158" s="123">
        <f t="shared" si="233"/>
        <v>0</v>
      </c>
      <c r="AK158" s="124">
        <f t="shared" si="284"/>
        <v>-963155.61060735828</v>
      </c>
      <c r="AL158" s="122">
        <f t="shared" si="285"/>
        <v>-109596.93406769307</v>
      </c>
      <c r="AM158" s="122" t="b">
        <f>IF($C$25="Ausschütter",0,IF(AL158&gt;=0,(AI158+AJ158)*$C$48*0.7))</f>
        <v>0</v>
      </c>
      <c r="AN158" s="122">
        <f t="shared" si="177"/>
        <v>0</v>
      </c>
      <c r="AO158" s="122">
        <f t="shared" si="212"/>
        <v>0</v>
      </c>
      <c r="AP158" s="122">
        <f t="shared" si="286"/>
        <v>22574.024192443576</v>
      </c>
      <c r="AQ158" s="122">
        <f>IF($C$25="AUSSCHÜTTER",0,IF(AO158*$C$46*$C$49&lt;=$C$47,0,AO158*$C$46*$C$49))</f>
        <v>0</v>
      </c>
      <c r="AR158" s="122">
        <f>IF(AO157*$C$49&gt;$C$47,(AN158)*$C$49*$C$46,IF((AO157+AN158)*$C$49&gt;$C$47,((AO157+AN158)*$C$49-$C$47)*$C$46,0))</f>
        <v>0</v>
      </c>
      <c r="AS158" s="122">
        <f t="shared" si="287"/>
        <v>0</v>
      </c>
      <c r="AT158" s="122">
        <f t="shared" si="288"/>
        <v>430891.77838569693</v>
      </c>
      <c r="AU158" s="122">
        <f t="shared" si="289"/>
        <v>0</v>
      </c>
      <c r="AV158" s="122">
        <f t="shared" si="290"/>
        <v>-963155.61060735828</v>
      </c>
      <c r="AW158" s="122">
        <f t="shared" si="214"/>
        <v>0</v>
      </c>
      <c r="AX158" s="130">
        <f t="shared" si="215"/>
        <v>0</v>
      </c>
      <c r="AY158" s="82">
        <f>IF(AF158&lt;$C$11,$C$15*(1+$C$19)^(AF158-$C$10),0)</f>
        <v>0</v>
      </c>
      <c r="AZ158" s="82">
        <f>$C$14*(1+$C$37)^(AF158-$C$10)</f>
        <v>123519.06788067138</v>
      </c>
      <c r="BA158" s="165">
        <f>IF(AF158&lt;$C$11,0,MAX($C$38*AI158,AZ158))</f>
        <v>123519.06788067138</v>
      </c>
      <c r="BB158" s="82">
        <f>IF(AF158&lt;$C$11,0,MAX($C$38*AI158,AZ158))</f>
        <v>123519.06788067138</v>
      </c>
      <c r="BC158" s="136">
        <f>IF($C$39="JA",CT158,DG158)</f>
        <v>32578.154153527077</v>
      </c>
      <c r="BD158" s="82">
        <f t="shared" si="178"/>
        <v>0</v>
      </c>
      <c r="BE158" s="82">
        <f>IF(AF158&lt;($C$8+$C$30),0,$C$29*12*(1-$C$31))</f>
        <v>0</v>
      </c>
      <c r="BF158" s="82">
        <f>IF(AF158&lt;($C$8+$C$34),0,$C$33*12*(1-$C$35))</f>
        <v>0</v>
      </c>
      <c r="BG158" s="82">
        <f>IF(AF158&lt;$C$11,0,IF(AI158&lt;0,$C$42*(1+$C$44)^(AF158-$C$10),IF(((AL158+BE158+BF158)*$C$41)&lt;$C$42*(1+$C$44)^(AF158-$C$10),$C$42*(1+$C$44)^(AF158-$C$10),IF(((AL158+BE158+BF158)*$C$41)&lt;$C$43*(1+$C$44)^(AF158-$C$10),(AL158+BE158+BF158)*$C$41,IF(((AL158+BE158+BF158+BB158)*$C$41)&lt;$C$43*(1+$C$44)^(AF158-$C$10),((AL158+BE158+BF158+BB158)*$C$41),$C$43*(1+$C$44)^(AF158-$C$10))))))</f>
        <v>7665.8891880662177</v>
      </c>
      <c r="BH158" s="82">
        <f t="shared" si="238"/>
        <v>163763.11122226468</v>
      </c>
      <c r="BI158" s="242">
        <f t="shared" si="291"/>
        <v>-963155.61060735828</v>
      </c>
      <c r="BJ158" s="217">
        <f t="shared" si="292"/>
        <v>-1126918.721829623</v>
      </c>
      <c r="BK158" s="118"/>
      <c r="BL158" s="219">
        <f t="shared" si="293"/>
        <v>62</v>
      </c>
      <c r="BM158" s="220">
        <f t="shared" si="294"/>
        <v>79</v>
      </c>
      <c r="BN158" s="220">
        <f t="shared" si="295"/>
        <v>0</v>
      </c>
      <c r="BO158" s="221">
        <f t="shared" si="296"/>
        <v>0</v>
      </c>
      <c r="BP158" s="221">
        <f t="shared" si="297"/>
        <v>0</v>
      </c>
      <c r="BQ158" s="222">
        <f t="shared" si="298"/>
        <v>0</v>
      </c>
      <c r="BR158" s="223">
        <f>IF(BM158&lt;$C$11-$C$10+1,0,IF(BL158&lt;=$C$13,VLOOKUP(BL158,$BN$80:$BQ$156,2,FALSE)-BS158,0))</f>
        <v>0</v>
      </c>
      <c r="BS158" s="223">
        <f>IF(BM158&lt;$C$11-$C$10+1,0,IF(BL158&lt;=$C$13,VLOOKUP(BL158,$BN$80:$BQ$156,3,FALSE),0))</f>
        <v>0</v>
      </c>
      <c r="BT158" s="222">
        <f>IF(BM158&lt;$C$11-$C$10+1,0,IF(BL158&lt;=$C$13,VLOOKUP(BL158,$BN$80:$BQ$156,4,FALSE),0))</f>
        <v>0</v>
      </c>
      <c r="BU158" s="223">
        <f t="shared" si="299"/>
        <v>0</v>
      </c>
      <c r="BV158" s="223">
        <f t="shared" si="300"/>
        <v>0</v>
      </c>
      <c r="BW158" s="223">
        <f t="shared" si="301"/>
        <v>0</v>
      </c>
      <c r="BX158" s="223">
        <f>IF(AND(BS158&lt;=0,BN158=0),MIN((MAX($BZ$80:$BZ$156)-SUM($BX$80:BX157)),CA158),IF(BS158&lt;CA158,BS158,CA158))</f>
        <v>0</v>
      </c>
      <c r="BY158" s="222">
        <f>IF(BN158&gt;0,0,IF(AND(BN158=0,BT158&lt;=0),100%,((BW157*(AVERAGE($BT$80:BT157))+(BR158*BT158))/(BR158+BW157+BS158+BV157))))</f>
        <v>1</v>
      </c>
      <c r="BZ158" s="139">
        <f t="shared" si="302"/>
        <v>430891.77838569693</v>
      </c>
      <c r="CA158" s="122">
        <f t="shared" si="303"/>
        <v>123519.06788067138</v>
      </c>
      <c r="CB158" s="181">
        <f t="shared" si="304"/>
        <v>1</v>
      </c>
      <c r="CC158" s="122">
        <f t="shared" si="305"/>
        <v>4156524.3325301632</v>
      </c>
      <c r="CD158" s="182">
        <f t="shared" si="306"/>
        <v>0</v>
      </c>
      <c r="CE158" s="122">
        <f t="shared" si="307"/>
        <v>430891.77838569693</v>
      </c>
      <c r="CF158" s="122">
        <f t="shared" si="308"/>
        <v>0</v>
      </c>
      <c r="CG158" s="122" t="str">
        <f t="shared" si="309"/>
        <v/>
      </c>
      <c r="CH158" s="140">
        <f t="shared" si="310"/>
        <v>1</v>
      </c>
      <c r="CI158" s="142">
        <f t="shared" si="311"/>
        <v>9984</v>
      </c>
      <c r="CJ158" s="134">
        <f>CI158*$C$57</f>
        <v>0</v>
      </c>
      <c r="CK158" s="142">
        <f t="shared" si="312"/>
        <v>14926</v>
      </c>
      <c r="CL158" s="134">
        <f>CK158*$C$57</f>
        <v>0</v>
      </c>
      <c r="CM158" s="142">
        <f t="shared" si="313"/>
        <v>58596</v>
      </c>
      <c r="CN158" s="134">
        <f>CM158*$C$57</f>
        <v>0</v>
      </c>
      <c r="CO158" s="132">
        <f t="shared" si="314"/>
        <v>123519.06788067138</v>
      </c>
      <c r="CP158" s="140">
        <f t="shared" si="315"/>
        <v>0.42</v>
      </c>
      <c r="CQ158" s="121" t="str">
        <f>IF($C$50="NEIN","NEIN",IF(CS158&lt;CR158,"JA","NEIN"))</f>
        <v>NEIN</v>
      </c>
      <c r="CR158" s="121">
        <f>CO158*$C$46</f>
        <v>32578.154153527077</v>
      </c>
      <c r="CS158" s="121">
        <f t="shared" si="316"/>
        <v>42610.478509881978</v>
      </c>
      <c r="CT158" s="201">
        <f>IF($C$50="NEIN",CR158,IF(CQ158="NEIN",CR158,CS158))</f>
        <v>32578.154153527077</v>
      </c>
      <c r="CU158" s="149"/>
      <c r="CV158" s="202">
        <f t="shared" si="317"/>
        <v>9984</v>
      </c>
      <c r="CW158" s="134">
        <f>CV158*$C$57</f>
        <v>0</v>
      </c>
      <c r="CX158" s="142">
        <f t="shared" si="318"/>
        <v>14926</v>
      </c>
      <c r="CY158" s="134">
        <f>CX158*$C$57</f>
        <v>0</v>
      </c>
      <c r="CZ158" s="142">
        <f t="shared" si="319"/>
        <v>58596</v>
      </c>
      <c r="DA158" s="143">
        <f>CZ158*$C$57</f>
        <v>0</v>
      </c>
      <c r="DB158" s="165">
        <f t="shared" si="320"/>
        <v>123519.06788067138</v>
      </c>
      <c r="DC158" s="140">
        <f t="shared" si="321"/>
        <v>0.42</v>
      </c>
      <c r="DD158" s="121" t="str">
        <f>IF($C$50="NEIN","NEIN",IF(DF158&lt;DE158,"JA","NEIN"))</f>
        <v>NEIN</v>
      </c>
      <c r="DE158" s="121">
        <f>DB158*$C$46</f>
        <v>32578.154153527077</v>
      </c>
      <c r="DF158" s="121">
        <f t="shared" si="322"/>
        <v>42610.478509881978</v>
      </c>
      <c r="DG158" s="201">
        <f>IF($C$50="NEIN",DE158,IF(DD158="NEIN",DE158,DF158))</f>
        <v>32578.154153527077</v>
      </c>
      <c r="DH158" s="97"/>
      <c r="DI158" s="125"/>
      <c r="DN158" s="75"/>
      <c r="DO158" s="28">
        <f t="shared" si="247"/>
        <v>2099</v>
      </c>
      <c r="DP158" s="17">
        <f>IF($C$13+$C$10&gt;=DO158,-#REF!,IF(DO158=$C$13+$C$10+1,$EK$93,0))</f>
        <v>0</v>
      </c>
      <c r="DQ158" s="17" t="e">
        <f t="shared" si="248"/>
        <v>#REF!</v>
      </c>
      <c r="DR158" s="17" t="e">
        <f t="shared" si="249"/>
        <v>#REF!</v>
      </c>
      <c r="DS158" s="17" t="e">
        <f>#REF!+EB157</f>
        <v>#REF!</v>
      </c>
      <c r="DT158" s="17" t="e">
        <f t="shared" si="191"/>
        <v>#REF!</v>
      </c>
      <c r="DU158" s="17" t="e">
        <f t="shared" si="250"/>
        <v>#REF!</v>
      </c>
      <c r="DV158" s="33" t="e">
        <f t="shared" si="192"/>
        <v>#REF!</v>
      </c>
      <c r="DW158" s="32" t="e">
        <f t="shared" si="193"/>
        <v>#REF!</v>
      </c>
      <c r="DX158" s="17" t="e">
        <f t="shared" si="251"/>
        <v>#REF!</v>
      </c>
      <c r="DY158" s="17" t="e">
        <f t="shared" si="252"/>
        <v>#REF!</v>
      </c>
      <c r="DZ158" s="17" t="e">
        <f t="shared" si="194"/>
        <v>#REF!</v>
      </c>
      <c r="EA158" s="17" t="e">
        <f t="shared" si="224"/>
        <v>#REF!</v>
      </c>
      <c r="EB158" s="15" t="e">
        <f t="shared" si="225"/>
        <v>#REF!</v>
      </c>
      <c r="EC158" s="15">
        <f>IF(DP158=0,EC157,IF(DO158&lt;=$EK$88+$C$10,ABS(DP158)+EC157,EC157))</f>
        <v>430891.77838569693</v>
      </c>
      <c r="ED158" s="15" t="e">
        <f t="shared" si="253"/>
        <v>#REF!</v>
      </c>
      <c r="EE158" s="16" t="e">
        <f t="shared" si="254"/>
        <v>#REF!</v>
      </c>
      <c r="EF158" s="15" t="e">
        <f>IF(DS158&lt;=0,0,DS158-#REF!)</f>
        <v>#REF!</v>
      </c>
      <c r="EG158" s="15" t="e">
        <f t="shared" si="255"/>
        <v>#REF!</v>
      </c>
      <c r="EH158" s="16"/>
      <c r="EI158" s="16"/>
      <c r="EJ158"/>
      <c r="EK158"/>
      <c r="EL158"/>
      <c r="EM158" s="28">
        <f t="shared" si="256"/>
        <v>2099</v>
      </c>
      <c r="EN158" s="29">
        <f>IF($C$13+$C$10&gt;=EM158,-(#REF!),IF(EM158=$C$13+$C$10+1,$FB$93,0))</f>
        <v>0</v>
      </c>
      <c r="EO158" s="30" t="e">
        <f t="shared" si="257"/>
        <v>#REF!</v>
      </c>
      <c r="EP158" s="30" t="e">
        <f t="shared" si="258"/>
        <v>#REF!</v>
      </c>
      <c r="EQ158" s="30" t="e">
        <f>#REF!-EV157</f>
        <v>#REF!</v>
      </c>
      <c r="ER158" s="25" t="e">
        <f t="shared" si="196"/>
        <v>#REF!</v>
      </c>
      <c r="ES158" s="30" t="e">
        <f t="shared" si="259"/>
        <v>#REF!</v>
      </c>
      <c r="ET158" s="26" t="e">
        <f t="shared" si="197"/>
        <v>#REF!</v>
      </c>
      <c r="EU158" s="30" t="e">
        <f t="shared" si="260"/>
        <v>#REF!</v>
      </c>
      <c r="EV158" s="25" t="e">
        <f t="shared" si="198"/>
        <v>#REF!</v>
      </c>
      <c r="EW158" s="31" t="e">
        <f t="shared" si="261"/>
        <v>#REF!</v>
      </c>
      <c r="EX158" s="27">
        <f>IF(EM158=0,EX157,IF(EM158&lt;=$FB$88+$C$10,ABS(EN158)+EX157,EX157))</f>
        <v>430891.77838569693</v>
      </c>
      <c r="EY158" s="15"/>
      <c r="EZ158"/>
      <c r="FA158"/>
      <c r="FB158"/>
      <c r="FJ158" s="28">
        <f t="shared" si="262"/>
        <v>2099</v>
      </c>
      <c r="FK158" s="65">
        <f>IF($C$13+$C$10&gt;=FJ158,-#REF!,IF(FJ158=$C$13+$C$10+1,$EK$93,0))</f>
        <v>0</v>
      </c>
      <c r="FL158" s="65">
        <f t="shared" si="263"/>
        <v>74118.803999999975</v>
      </c>
      <c r="FM158" s="65">
        <f t="shared" si="264"/>
        <v>2862970.1746203387</v>
      </c>
      <c r="FN158" s="65">
        <f>IF(FY157&gt;=$GF$97,0,#REF!+FW157)</f>
        <v>0</v>
      </c>
      <c r="FO158" s="65">
        <f t="shared" si="199"/>
        <v>3063378.0868437625</v>
      </c>
      <c r="FP158" s="65">
        <f t="shared" si="265"/>
        <v>200407.91222342383</v>
      </c>
      <c r="FQ158" s="59">
        <f t="shared" si="200"/>
        <v>1402.8553855639659</v>
      </c>
      <c r="FR158" s="60">
        <f t="shared" si="201"/>
        <v>61267.56173687525</v>
      </c>
      <c r="FS158" s="65">
        <f t="shared" si="266"/>
        <v>0</v>
      </c>
      <c r="FT158" s="65">
        <f t="shared" si="267"/>
        <v>0</v>
      </c>
      <c r="FU158" s="65">
        <f t="shared" si="202"/>
        <v>0</v>
      </c>
      <c r="FV158" s="65">
        <f t="shared" si="228"/>
        <v>11100.259835670591</v>
      </c>
      <c r="FW158" s="61">
        <f t="shared" si="229"/>
        <v>50167.301901204657</v>
      </c>
      <c r="FX158" s="61">
        <f>IF(AND(FJ158&lt;=$GF$88+$C$10,FV157&lt;=0,FN158&gt;0),(FJ158-$C$10+1)*#REF!+$GF$80,FX157)</f>
        <v>73074.599999999977</v>
      </c>
      <c r="FY158" s="62">
        <f t="shared" si="230"/>
        <v>52.542188783786109</v>
      </c>
      <c r="FZ158" s="63">
        <f t="shared" si="268"/>
        <v>3063378.0868437625</v>
      </c>
      <c r="GA158" s="64">
        <f t="shared" si="269"/>
        <v>58427.962747353857</v>
      </c>
      <c r="GB158" s="64">
        <f t="shared" si="270"/>
        <v>1228012.743441876</v>
      </c>
      <c r="GC158" s="66">
        <f>IF(FN158&lt;=0,0,FN158-#REF!)</f>
        <v>0</v>
      </c>
      <c r="GD158" s="64">
        <f t="shared" si="271"/>
        <v>1580.6039999999994</v>
      </c>
      <c r="GE158"/>
      <c r="GF158"/>
      <c r="GI158" s="28">
        <f t="shared" si="272"/>
        <v>2099</v>
      </c>
      <c r="GJ158" s="9">
        <f>IF($GX$88+$C$10&gt;=GI158,-#REF!,IF(GI158=$GX$88+$C$10+1,$FB$93,0))</f>
        <v>0</v>
      </c>
      <c r="GK158" s="5" t="e">
        <f t="shared" si="273"/>
        <v>#REF!</v>
      </c>
      <c r="GL158" s="5" t="e">
        <f t="shared" si="274"/>
        <v>#REF!</v>
      </c>
      <c r="GM158" s="35" t="e">
        <f>IF(FX157=$GF$94,#REF!-GR157+FW157,0)</f>
        <v>#REF!</v>
      </c>
      <c r="GN158" s="4" t="e">
        <f t="shared" si="204"/>
        <v>#REF!</v>
      </c>
      <c r="GO158" s="5" t="e">
        <f t="shared" si="275"/>
        <v>#REF!</v>
      </c>
      <c r="GP158" s="5" t="e">
        <f t="shared" si="205"/>
        <v>#REF!</v>
      </c>
      <c r="GQ158" s="5" t="e">
        <f t="shared" si="276"/>
        <v>#REF!</v>
      </c>
      <c r="GR158" s="4" t="e">
        <f t="shared" si="206"/>
        <v>#REF!</v>
      </c>
      <c r="GS158" s="7" t="e">
        <f t="shared" si="277"/>
        <v>#REF!</v>
      </c>
      <c r="GT158" s="107" t="e">
        <f>IF($DG$62=0,EX158,IF(GI158-$C$10+1&lt;=$GF$98,0,#REF!-FX158))</f>
        <v>#REF!</v>
      </c>
      <c r="GU158"/>
      <c r="GV158"/>
      <c r="GW158"/>
      <c r="GX158"/>
    </row>
    <row r="159" spans="2:212" ht="16.149999999999999" thickBot="1" x14ac:dyDescent="0.55000000000000004">
      <c r="B159" s="333"/>
      <c r="C159" s="75"/>
      <c r="D159" s="75"/>
      <c r="F159" s="75"/>
      <c r="G159" s="75"/>
      <c r="H159" s="75"/>
      <c r="I159" s="75"/>
      <c r="J159" s="75"/>
      <c r="K159" s="75"/>
      <c r="L159" s="75"/>
      <c r="M159" s="75"/>
      <c r="O159" s="75"/>
      <c r="P159" s="75"/>
      <c r="Q159" s="75"/>
      <c r="R159" s="75"/>
      <c r="S159" s="290"/>
      <c r="T159" s="291"/>
      <c r="U159" s="291"/>
      <c r="V159" s="292"/>
      <c r="W159" s="292"/>
      <c r="AB159" s="117">
        <f t="shared" si="207"/>
        <v>107</v>
      </c>
      <c r="AC159" s="117">
        <f t="shared" si="208"/>
        <v>2100</v>
      </c>
      <c r="AD159" s="299">
        <f>IF($C$20="NEIN",$C$21,IF($C$22="JA",'HISTORISCHE RENDITEN'!E83,'HISTORISCHE RENDITEN'!D83))</f>
        <v>7.5600000000000001E-2</v>
      </c>
      <c r="AE159" s="129">
        <f t="shared" si="278"/>
        <v>107</v>
      </c>
      <c r="AF159" s="120">
        <f t="shared" si="280"/>
        <v>2100</v>
      </c>
      <c r="AG159" s="122">
        <f t="shared" si="281"/>
        <v>0</v>
      </c>
      <c r="AH159" s="124">
        <f t="shared" si="282"/>
        <v>430891.77838569693</v>
      </c>
      <c r="AI159" s="296">
        <f t="shared" si="283"/>
        <v>-1126918.721829623</v>
      </c>
      <c r="AJ159" s="123">
        <f t="shared" si="233"/>
        <v>0</v>
      </c>
      <c r="AK159" s="124">
        <f t="shared" si="284"/>
        <v>-1212113.7771999426</v>
      </c>
      <c r="AL159" s="122">
        <f t="shared" si="285"/>
        <v>-85195.055370319635</v>
      </c>
      <c r="AM159" s="122" t="b">
        <f>IF($C$25="Ausschütter",0,IF(AL159&gt;=0,(AI159+AJ159)*$C$48*0.7))</f>
        <v>0</v>
      </c>
      <c r="AN159" s="122">
        <f t="shared" si="177"/>
        <v>0</v>
      </c>
      <c r="AO159" s="122">
        <f t="shared" si="212"/>
        <v>0</v>
      </c>
      <c r="AP159" s="122">
        <f t="shared" si="286"/>
        <v>22574.024192443576</v>
      </c>
      <c r="AQ159" s="122">
        <f>IF($C$25="AUSSCHÜTTER",0,IF(AO159*$C$46*$C$49&lt;=$C$47,0,AO159*$C$46*$C$49))</f>
        <v>0</v>
      </c>
      <c r="AR159" s="122">
        <f>IF(AO158*$C$49&gt;$C$47,(AN159)*$C$49*$C$46,IF((AO158+AN159)*$C$49&gt;$C$47,((AO158+AN159)*$C$49-$C$47)*$C$46,0))</f>
        <v>0</v>
      </c>
      <c r="AS159" s="122">
        <f t="shared" si="287"/>
        <v>0</v>
      </c>
      <c r="AT159" s="122">
        <f t="shared" si="288"/>
        <v>430891.77838569693</v>
      </c>
      <c r="AU159" s="122">
        <f t="shared" si="289"/>
        <v>0</v>
      </c>
      <c r="AV159" s="122">
        <f t="shared" si="290"/>
        <v>-1212113.7771999426</v>
      </c>
      <c r="AW159" s="122">
        <f t="shared" si="214"/>
        <v>0</v>
      </c>
      <c r="AX159" s="130">
        <f t="shared" si="215"/>
        <v>0</v>
      </c>
      <c r="AY159" s="82">
        <f>IF(AF159&lt;$C$11,$C$15*(1+$C$19)^(AF159-$C$10),0)</f>
        <v>0</v>
      </c>
      <c r="AZ159" s="82">
        <f>$C$14*(1+$C$37)^(AF159-$C$10)</f>
        <v>126607.0445776882</v>
      </c>
      <c r="BA159" s="165">
        <f>IF(AF159&lt;$C$11,0,MAX($C$38*AI159,AZ159))</f>
        <v>126607.0445776882</v>
      </c>
      <c r="BB159" s="82">
        <f>IF(AF159&lt;$C$11,0,MAX($C$38*AI159,AZ159))</f>
        <v>126607.0445776882</v>
      </c>
      <c r="BC159" s="136">
        <f>IF($C$39="JA",CT159,DG159)</f>
        <v>33392.608007365263</v>
      </c>
      <c r="BD159" s="82">
        <f t="shared" si="178"/>
        <v>0</v>
      </c>
      <c r="BE159" s="82">
        <f>IF(AF159&lt;($C$8+$C$30),0,$C$29*12*(1-$C$31))</f>
        <v>0</v>
      </c>
      <c r="BF159" s="82">
        <f>IF(AF159&lt;($C$8+$C$34),0,$C$33*12*(1-$C$35))</f>
        <v>0</v>
      </c>
      <c r="BG159" s="82">
        <f>IF(AF159&lt;$C$11,0,IF(AI159&lt;0,$C$42*(1+$C$44)^(AF159-$C$10),IF(((AL159+BE159+BF159)*$C$41)&lt;$C$42*(1+$C$44)^(AF159-$C$10),$C$42*(1+$C$44)^(AF159-$C$10),IF(((AL159+BE159+BF159)*$C$41)&lt;$C$43*(1+$C$44)^(AF159-$C$10),(AL159+BE159+BF159)*$C$41,IF(((AL159+BE159+BF159+BB159)*$C$41)&lt;$C$43*(1+$C$44)^(AF159-$C$10),((AL159+BE159+BF159+BB159)*$C$41),$C$43*(1+$C$44)^(AF159-$C$10))))))</f>
        <v>7780.8775258872092</v>
      </c>
      <c r="BH159" s="82">
        <f t="shared" si="238"/>
        <v>167780.53011094069</v>
      </c>
      <c r="BI159" s="242">
        <f t="shared" si="291"/>
        <v>-1212113.7771999426</v>
      </c>
      <c r="BJ159" s="217">
        <f t="shared" si="292"/>
        <v>-1379894.3073108834</v>
      </c>
      <c r="BK159" s="118"/>
      <c r="BL159" s="219">
        <f t="shared" si="293"/>
        <v>63</v>
      </c>
      <c r="BM159" s="220">
        <f t="shared" si="294"/>
        <v>80</v>
      </c>
      <c r="BN159" s="220">
        <f t="shared" si="295"/>
        <v>0</v>
      </c>
      <c r="BO159" s="221">
        <f t="shared" si="296"/>
        <v>0</v>
      </c>
      <c r="BP159" s="221">
        <f t="shared" si="297"/>
        <v>0</v>
      </c>
      <c r="BQ159" s="222">
        <f t="shared" si="298"/>
        <v>0</v>
      </c>
      <c r="BR159" s="223">
        <f>IF(BM159&lt;$C$11-$C$10+1,0,IF(BL159&lt;=$C$13,VLOOKUP(BL159,$BN$80:$BQ$156,2,FALSE)-BS159,0))</f>
        <v>0</v>
      </c>
      <c r="BS159" s="223">
        <f>IF(BM159&lt;$C$11-$C$10+1,0,IF(BL159&lt;=$C$13,VLOOKUP(BL159,$BN$80:$BQ$156,3,FALSE),0))</f>
        <v>0</v>
      </c>
      <c r="BT159" s="222">
        <f>IF(BM159&lt;$C$11-$C$10+1,0,IF(BL159&lt;=$C$13,VLOOKUP(BL159,$BN$80:$BQ$156,4,FALSE),0))</f>
        <v>0</v>
      </c>
      <c r="BU159" s="223">
        <f t="shared" si="299"/>
        <v>0</v>
      </c>
      <c r="BV159" s="223">
        <f t="shared" si="300"/>
        <v>0</v>
      </c>
      <c r="BW159" s="223">
        <f t="shared" si="301"/>
        <v>0</v>
      </c>
      <c r="BX159" s="223">
        <f>IF(AND(BS159&lt;=0,BN159=0),MIN((MAX($BZ$80:$BZ$156)-SUM($BX$80:BX158)),CA159),IF(BS159&lt;CA159,BS159,CA159))</f>
        <v>0</v>
      </c>
      <c r="BY159" s="222">
        <f>IF(BN159&gt;0,0,IF(AND(BN159=0,BT159&lt;=0),100%,((BW158*(AVERAGE($BT$80:BT158))+(BR159*BT159))/(BR159+BW158+BS159+BV158))))</f>
        <v>1</v>
      </c>
      <c r="BZ159" s="139">
        <f t="shared" si="302"/>
        <v>430891.77838569693</v>
      </c>
      <c r="CA159" s="122">
        <f t="shared" si="303"/>
        <v>126607.0445776882</v>
      </c>
      <c r="CB159" s="181">
        <f t="shared" si="304"/>
        <v>1</v>
      </c>
      <c r="CC159" s="122">
        <f t="shared" si="305"/>
        <v>4283131.3771078512</v>
      </c>
      <c r="CD159" s="182">
        <f t="shared" si="306"/>
        <v>0</v>
      </c>
      <c r="CE159" s="122">
        <f t="shared" si="307"/>
        <v>430891.77838569693</v>
      </c>
      <c r="CF159" s="122">
        <f t="shared" si="308"/>
        <v>0</v>
      </c>
      <c r="CG159" s="122" t="str">
        <f t="shared" si="309"/>
        <v/>
      </c>
      <c r="CH159" s="140">
        <f t="shared" si="310"/>
        <v>1</v>
      </c>
      <c r="CI159" s="142">
        <f t="shared" si="311"/>
        <v>9984</v>
      </c>
      <c r="CJ159" s="134">
        <f>CI159*$C$57</f>
        <v>0</v>
      </c>
      <c r="CK159" s="142">
        <f t="shared" si="312"/>
        <v>14926</v>
      </c>
      <c r="CL159" s="134">
        <f>CK159*$C$57</f>
        <v>0</v>
      </c>
      <c r="CM159" s="142">
        <f t="shared" si="313"/>
        <v>58596</v>
      </c>
      <c r="CN159" s="134">
        <f>CM159*$C$57</f>
        <v>0</v>
      </c>
      <c r="CO159" s="132">
        <f t="shared" si="314"/>
        <v>126607.0445776882</v>
      </c>
      <c r="CP159" s="140">
        <f t="shared" si="315"/>
        <v>0.42</v>
      </c>
      <c r="CQ159" s="121" t="str">
        <f>IF($C$50="NEIN","NEIN",IF(CS159&lt;CR159,"JA","NEIN"))</f>
        <v>NEIN</v>
      </c>
      <c r="CR159" s="121">
        <f>CO159*$C$46</f>
        <v>33392.608007365263</v>
      </c>
      <c r="CS159" s="121">
        <f t="shared" si="316"/>
        <v>43907.42872262904</v>
      </c>
      <c r="CT159" s="201">
        <f>IF($C$50="NEIN",CR159,IF(CQ159="NEIN",CR159,CS159))</f>
        <v>33392.608007365263</v>
      </c>
      <c r="CU159" s="149"/>
      <c r="CV159" s="202">
        <f t="shared" si="317"/>
        <v>9984</v>
      </c>
      <c r="CW159" s="134">
        <f>CV159*$C$57</f>
        <v>0</v>
      </c>
      <c r="CX159" s="142">
        <f t="shared" si="318"/>
        <v>14926</v>
      </c>
      <c r="CY159" s="134">
        <f>CX159*$C$57</f>
        <v>0</v>
      </c>
      <c r="CZ159" s="142">
        <f t="shared" si="319"/>
        <v>58596</v>
      </c>
      <c r="DA159" s="143">
        <f>CZ159*$C$57</f>
        <v>0</v>
      </c>
      <c r="DB159" s="165">
        <f t="shared" si="320"/>
        <v>126607.0445776882</v>
      </c>
      <c r="DC159" s="140">
        <f t="shared" si="321"/>
        <v>0.42</v>
      </c>
      <c r="DD159" s="121" t="str">
        <f>IF($C$50="NEIN","NEIN",IF(DF159&lt;DE159,"JA","NEIN"))</f>
        <v>NEIN</v>
      </c>
      <c r="DE159" s="121">
        <f>DB159*$C$46</f>
        <v>33392.608007365263</v>
      </c>
      <c r="DF159" s="121">
        <f t="shared" si="322"/>
        <v>43907.42872262904</v>
      </c>
      <c r="DG159" s="201">
        <f>IF($C$50="NEIN",DE159,IF(DD159="NEIN",DE159,DF159))</f>
        <v>33392.608007365263</v>
      </c>
      <c r="DH159" s="97"/>
      <c r="DI159" s="125"/>
      <c r="DN159" s="75"/>
      <c r="DO159" s="28">
        <f t="shared" si="247"/>
        <v>2100</v>
      </c>
      <c r="DP159" s="17">
        <f>IF($C$13+$C$10&gt;=DO159,-#REF!,IF(DO159=$C$13+$C$10+1,$EK$93,0))</f>
        <v>0</v>
      </c>
      <c r="DQ159" s="17" t="e">
        <f t="shared" si="248"/>
        <v>#REF!</v>
      </c>
      <c r="DR159" s="17" t="e">
        <f t="shared" si="249"/>
        <v>#REF!</v>
      </c>
      <c r="DS159" s="17" t="e">
        <f>#REF!+EB158</f>
        <v>#REF!</v>
      </c>
      <c r="DT159" s="17" t="e">
        <f t="shared" si="191"/>
        <v>#REF!</v>
      </c>
      <c r="DU159" s="17" t="e">
        <f t="shared" si="250"/>
        <v>#REF!</v>
      </c>
      <c r="DV159" s="33" t="e">
        <f t="shared" si="192"/>
        <v>#REF!</v>
      </c>
      <c r="DW159" s="32" t="e">
        <f t="shared" si="193"/>
        <v>#REF!</v>
      </c>
      <c r="DX159" s="17" t="e">
        <f t="shared" si="251"/>
        <v>#REF!</v>
      </c>
      <c r="DY159" s="17" t="e">
        <f t="shared" si="252"/>
        <v>#REF!</v>
      </c>
      <c r="DZ159" s="17" t="e">
        <f t="shared" si="194"/>
        <v>#REF!</v>
      </c>
      <c r="EA159" s="17" t="e">
        <f t="shared" si="224"/>
        <v>#REF!</v>
      </c>
      <c r="EB159" s="15" t="e">
        <f t="shared" si="225"/>
        <v>#REF!</v>
      </c>
      <c r="EC159" s="15">
        <f>IF(DP159=0,EC158,IF(DO159&lt;=$EK$88+$C$10,ABS(DP159)+EC158,EC158))</f>
        <v>430891.77838569693</v>
      </c>
      <c r="ED159" s="15" t="e">
        <f t="shared" si="253"/>
        <v>#REF!</v>
      </c>
      <c r="EE159" s="16" t="e">
        <f t="shared" si="254"/>
        <v>#REF!</v>
      </c>
      <c r="EF159" s="15" t="e">
        <f>IF(DS159&lt;=0,0,DS159-#REF!)</f>
        <v>#REF!</v>
      </c>
      <c r="EG159" s="15" t="e">
        <f t="shared" si="255"/>
        <v>#REF!</v>
      </c>
      <c r="EH159" s="16"/>
      <c r="EI159" s="16"/>
      <c r="EJ159"/>
      <c r="EK159"/>
      <c r="EL159"/>
      <c r="EM159" s="28">
        <f t="shared" si="256"/>
        <v>2100</v>
      </c>
      <c r="EN159" s="29">
        <f>IF($C$13+$C$10&gt;=EM159,-(#REF!),IF(EM159=$C$13+$C$10+1,$FB$93,0))</f>
        <v>0</v>
      </c>
      <c r="EO159" s="30" t="e">
        <f t="shared" si="257"/>
        <v>#REF!</v>
      </c>
      <c r="EP159" s="30" t="e">
        <f t="shared" si="258"/>
        <v>#REF!</v>
      </c>
      <c r="EQ159" s="30" t="e">
        <f>#REF!-EV158</f>
        <v>#REF!</v>
      </c>
      <c r="ER159" s="25" t="e">
        <f t="shared" si="196"/>
        <v>#REF!</v>
      </c>
      <c r="ES159" s="30" t="e">
        <f t="shared" si="259"/>
        <v>#REF!</v>
      </c>
      <c r="ET159" s="26" t="e">
        <f t="shared" si="197"/>
        <v>#REF!</v>
      </c>
      <c r="EU159" s="30" t="e">
        <f t="shared" si="260"/>
        <v>#REF!</v>
      </c>
      <c r="EV159" s="25" t="e">
        <f t="shared" si="198"/>
        <v>#REF!</v>
      </c>
      <c r="EW159" s="31" t="e">
        <f t="shared" si="261"/>
        <v>#REF!</v>
      </c>
      <c r="EX159" s="27">
        <f>IF(EM159=0,EX158,IF(EM159&lt;=$FB$88+$C$10,ABS(EN159)+EX158,EX158))</f>
        <v>430891.77838569693</v>
      </c>
      <c r="EY159" s="15"/>
      <c r="EZ159"/>
      <c r="FA159"/>
      <c r="FB159"/>
      <c r="FJ159" s="28">
        <f t="shared" si="262"/>
        <v>2100</v>
      </c>
      <c r="FK159" s="65">
        <f>IF($C$13+$C$10&gt;=FJ159,-#REF!,IF(FJ159=$C$13+$C$10+1,$EK$93,0))</f>
        <v>0</v>
      </c>
      <c r="FL159" s="65">
        <f t="shared" si="263"/>
        <v>74118.803999999975</v>
      </c>
      <c r="FM159" s="65">
        <f t="shared" si="264"/>
        <v>3002110.5251068873</v>
      </c>
      <c r="FN159" s="65">
        <f>IF(FY158&gt;=$GF$97,0,#REF!+FW158)</f>
        <v>0</v>
      </c>
      <c r="FO159" s="65">
        <f t="shared" si="199"/>
        <v>3212258.2618643697</v>
      </c>
      <c r="FP159" s="65">
        <f t="shared" si="265"/>
        <v>210147.7367574824</v>
      </c>
      <c r="FQ159" s="59">
        <f t="shared" si="200"/>
        <v>1471.0341573023748</v>
      </c>
      <c r="FR159" s="60">
        <f t="shared" si="201"/>
        <v>64245.165237287394</v>
      </c>
      <c r="FS159" s="65">
        <f t="shared" si="266"/>
        <v>0</v>
      </c>
      <c r="FT159" s="65">
        <f t="shared" si="267"/>
        <v>0</v>
      </c>
      <c r="FU159" s="65">
        <f t="shared" si="202"/>
        <v>0</v>
      </c>
      <c r="FV159" s="65">
        <f t="shared" si="228"/>
        <v>11649.999881934184</v>
      </c>
      <c r="FW159" s="61">
        <f t="shared" si="229"/>
        <v>52595.165355353209</v>
      </c>
      <c r="FX159" s="61">
        <f>IF(AND(FJ159&lt;=$GF$88+$C$10,FV158&lt;=0,FN159&gt;0),(FJ159-$C$10+1)*#REF!+$GF$80,FX158)</f>
        <v>73074.599999999977</v>
      </c>
      <c r="FY159" s="62">
        <f t="shared" si="230"/>
        <v>55.144339158678115</v>
      </c>
      <c r="FZ159" s="63">
        <f t="shared" si="268"/>
        <v>3212258.2618643697</v>
      </c>
      <c r="GA159" s="64">
        <f t="shared" si="269"/>
        <v>61267.56173687525</v>
      </c>
      <c r="GB159" s="64">
        <f t="shared" si="270"/>
        <v>1289280.3051787512</v>
      </c>
      <c r="GC159" s="66">
        <f>IF(FN159&lt;=0,0,FN159-#REF!)</f>
        <v>0</v>
      </c>
      <c r="GD159" s="64">
        <f t="shared" si="271"/>
        <v>1580.6039999999994</v>
      </c>
      <c r="GE159"/>
      <c r="GF159"/>
      <c r="GI159" s="28">
        <f t="shared" si="272"/>
        <v>2100</v>
      </c>
      <c r="GJ159" s="9">
        <f>IF($GX$88+$C$10&gt;=GI159,-#REF!,IF(GI159=$GX$88+$C$10+1,$FB$93,0))</f>
        <v>0</v>
      </c>
      <c r="GK159" s="5" t="e">
        <f t="shared" si="273"/>
        <v>#REF!</v>
      </c>
      <c r="GL159" s="5" t="e">
        <f t="shared" si="274"/>
        <v>#REF!</v>
      </c>
      <c r="GM159" s="35" t="e">
        <f>IF(FX158=$GF$94,#REF!-GR158+FW158,0)</f>
        <v>#REF!</v>
      </c>
      <c r="GN159" s="4" t="e">
        <f t="shared" si="204"/>
        <v>#REF!</v>
      </c>
      <c r="GO159" s="5" t="e">
        <f t="shared" si="275"/>
        <v>#REF!</v>
      </c>
      <c r="GP159" s="5" t="e">
        <f t="shared" si="205"/>
        <v>#REF!</v>
      </c>
      <c r="GQ159" s="5" t="e">
        <f t="shared" si="276"/>
        <v>#REF!</v>
      </c>
      <c r="GR159" s="4" t="e">
        <f t="shared" si="206"/>
        <v>#REF!</v>
      </c>
      <c r="GS159" s="7" t="e">
        <f t="shared" si="277"/>
        <v>#REF!</v>
      </c>
      <c r="GT159" s="107" t="e">
        <f>IF($DG$62=0,EX159,IF(GI159-$C$10+1&lt;=$GF$98,0,#REF!-FX159))</f>
        <v>#REF!</v>
      </c>
      <c r="GU159"/>
      <c r="GV159"/>
      <c r="GW159"/>
      <c r="GX159"/>
    </row>
    <row r="160" spans="2:212" ht="16.149999999999999" thickBot="1" x14ac:dyDescent="0.55000000000000004">
      <c r="B160" s="333"/>
      <c r="C160" s="75"/>
      <c r="D160" s="75"/>
      <c r="F160" s="75"/>
      <c r="G160" s="75"/>
      <c r="H160" s="75"/>
      <c r="I160" s="75"/>
      <c r="J160" s="75"/>
      <c r="K160" s="75"/>
      <c r="L160" s="75"/>
      <c r="M160" s="75"/>
      <c r="O160" s="75"/>
      <c r="P160" s="75"/>
      <c r="Q160" s="75"/>
      <c r="R160" s="75"/>
      <c r="S160" s="290"/>
      <c r="T160" s="291"/>
      <c r="U160" s="291"/>
      <c r="V160" s="292"/>
      <c r="W160" s="292"/>
      <c r="AB160" s="117">
        <f t="shared" si="207"/>
        <v>108</v>
      </c>
      <c r="AC160" s="117">
        <f t="shared" si="208"/>
        <v>2101</v>
      </c>
      <c r="AD160" s="299">
        <f>IF($C$20="NEIN",$C$21,IF($C$22="JA",'HISTORISCHE RENDITEN'!E84,'HISTORISCHE RENDITEN'!D84))</f>
        <v>0.17949999999999999</v>
      </c>
      <c r="AE160" s="129">
        <f t="shared" si="278"/>
        <v>108</v>
      </c>
      <c r="AF160" s="120">
        <f t="shared" si="280"/>
        <v>2101</v>
      </c>
      <c r="AG160" s="122">
        <f t="shared" si="281"/>
        <v>0</v>
      </c>
      <c r="AH160" s="124">
        <f t="shared" si="282"/>
        <v>430891.77838569693</v>
      </c>
      <c r="AI160" s="296">
        <f t="shared" si="283"/>
        <v>-1379894.3073108834</v>
      </c>
      <c r="AJ160" s="123">
        <f t="shared" si="233"/>
        <v>0</v>
      </c>
      <c r="AK160" s="124">
        <f t="shared" si="284"/>
        <v>-1627585.335473187</v>
      </c>
      <c r="AL160" s="122">
        <f t="shared" si="285"/>
        <v>-247691.02816230361</v>
      </c>
      <c r="AM160" s="122" t="b">
        <f>IF($C$25="Ausschütter",0,IF(AL160&gt;=0,(AI160+AJ160)*$C$48*0.7))</f>
        <v>0</v>
      </c>
      <c r="AN160" s="122">
        <f t="shared" si="177"/>
        <v>0</v>
      </c>
      <c r="AO160" s="122">
        <f t="shared" si="212"/>
        <v>0</v>
      </c>
      <c r="AP160" s="122">
        <f t="shared" si="286"/>
        <v>22574.024192443576</v>
      </c>
      <c r="AQ160" s="122">
        <f>IF($C$25="AUSSCHÜTTER",0,IF(AO160*$C$46*$C$49&lt;=$C$47,0,AO160*$C$46*$C$49))</f>
        <v>0</v>
      </c>
      <c r="AR160" s="122">
        <f>IF(AO159*$C$49&gt;$C$47,(AN160)*$C$49*$C$46,IF((AO159+AN160)*$C$49&gt;$C$47,((AO159+AN160)*$C$49-$C$47)*$C$46,0))</f>
        <v>0</v>
      </c>
      <c r="AS160" s="122">
        <f t="shared" si="287"/>
        <v>0</v>
      </c>
      <c r="AT160" s="122">
        <f t="shared" si="288"/>
        <v>430891.77838569693</v>
      </c>
      <c r="AU160" s="122">
        <f t="shared" si="289"/>
        <v>0</v>
      </c>
      <c r="AV160" s="122">
        <f t="shared" si="290"/>
        <v>-1627585.335473187</v>
      </c>
      <c r="AW160" s="122">
        <f t="shared" si="214"/>
        <v>0</v>
      </c>
      <c r="AX160" s="130">
        <f t="shared" si="215"/>
        <v>0</v>
      </c>
      <c r="AY160" s="82">
        <f>IF(AF160&lt;$C$11,$C$15*(1+$C$19)^(AF160-$C$10),0)</f>
        <v>0</v>
      </c>
      <c r="AZ160" s="82">
        <f>$C$14*(1+$C$37)^(AF160-$C$10)</f>
        <v>129772.22069213037</v>
      </c>
      <c r="BA160" s="165">
        <f>IF(AF160&lt;$C$11,0,MAX($C$38*AI160,AZ160))</f>
        <v>129772.22069213037</v>
      </c>
      <c r="BB160" s="82">
        <f>IF(AF160&lt;$C$11,0,MAX($C$38*AI160,AZ160))</f>
        <v>129772.22069213037</v>
      </c>
      <c r="BC160" s="136">
        <f>IF($C$39="JA",CT160,DG160)</f>
        <v>34227.423207549386</v>
      </c>
      <c r="BD160" s="82">
        <f t="shared" si="178"/>
        <v>0</v>
      </c>
      <c r="BE160" s="82">
        <f>IF(AF160&lt;($C$8+$C$30),0,$C$29*12*(1-$C$31))</f>
        <v>0</v>
      </c>
      <c r="BF160" s="82">
        <f>IF(AF160&lt;($C$8+$C$34),0,$C$33*12*(1-$C$35))</f>
        <v>0</v>
      </c>
      <c r="BG160" s="82">
        <f>IF(AF160&lt;$C$11,0,IF(AI160&lt;0,$C$42*(1+$C$44)^(AF160-$C$10),IF(((AL160+BE160+BF160)*$C$41)&lt;$C$42*(1+$C$44)^(AF160-$C$10),$C$42*(1+$C$44)^(AF160-$C$10),IF(((AL160+BE160+BF160)*$C$41)&lt;$C$43*(1+$C$44)^(AF160-$C$10),(AL160+BE160+BF160)*$C$41,IF(((AL160+BE160+BF160+BB160)*$C$41)&lt;$C$43*(1+$C$44)^(AF160-$C$10),((AL160+BE160+BF160+BB160)*$C$41),$C$43*(1+$C$44)^(AF160-$C$10))))))</f>
        <v>7897.5906887755164</v>
      </c>
      <c r="BH160" s="82">
        <f t="shared" si="238"/>
        <v>171897.23458845529</v>
      </c>
      <c r="BI160" s="242">
        <f t="shared" si="291"/>
        <v>-1627585.335473187</v>
      </c>
      <c r="BJ160" s="217">
        <f t="shared" si="292"/>
        <v>-1799482.5700616422</v>
      </c>
      <c r="BK160" s="118"/>
      <c r="BL160" s="219">
        <f t="shared" si="293"/>
        <v>64</v>
      </c>
      <c r="BM160" s="220">
        <f t="shared" si="294"/>
        <v>81</v>
      </c>
      <c r="BN160" s="220">
        <f t="shared" si="295"/>
        <v>0</v>
      </c>
      <c r="BO160" s="221">
        <f t="shared" si="296"/>
        <v>0</v>
      </c>
      <c r="BP160" s="221">
        <f t="shared" si="297"/>
        <v>0</v>
      </c>
      <c r="BQ160" s="222">
        <f t="shared" si="298"/>
        <v>0</v>
      </c>
      <c r="BR160" s="223">
        <f>IF(BM160&lt;$C$11-$C$10+1,0,IF(BL160&lt;=$C$13,VLOOKUP(BL160,$BN$80:$BQ$156,2,FALSE)-BS160,0))</f>
        <v>0</v>
      </c>
      <c r="BS160" s="223">
        <f>IF(BM160&lt;$C$11-$C$10+1,0,IF(BL160&lt;=$C$13,VLOOKUP(BL160,$BN$80:$BQ$156,3,FALSE),0))</f>
        <v>0</v>
      </c>
      <c r="BT160" s="222">
        <f>IF(BM160&lt;$C$11-$C$10+1,0,IF(BL160&lt;=$C$13,VLOOKUP(BL160,$BN$80:$BQ$156,4,FALSE),0))</f>
        <v>0</v>
      </c>
      <c r="BU160" s="223">
        <f t="shared" si="299"/>
        <v>0</v>
      </c>
      <c r="BV160" s="223">
        <f t="shared" si="300"/>
        <v>0</v>
      </c>
      <c r="BW160" s="223">
        <f t="shared" si="301"/>
        <v>0</v>
      </c>
      <c r="BX160" s="223">
        <f>IF(AND(BS160&lt;=0,BN160=0),MIN((MAX($BZ$80:$BZ$156)-SUM($BX$80:BX159)),CA160),IF(BS160&lt;CA160,BS160,CA160))</f>
        <v>0</v>
      </c>
      <c r="BY160" s="222">
        <f>IF(BN160&gt;0,0,IF(AND(BN160=0,BT160&lt;=0),100%,((BW159*(AVERAGE($BT$80:BT159))+(BR160*BT160))/(BR160+BW159+BS160+BV159))))</f>
        <v>1</v>
      </c>
      <c r="BZ160" s="139">
        <f t="shared" si="302"/>
        <v>430891.77838569693</v>
      </c>
      <c r="CA160" s="122">
        <f t="shared" si="303"/>
        <v>129772.22069213037</v>
      </c>
      <c r="CB160" s="181">
        <f t="shared" si="304"/>
        <v>1</v>
      </c>
      <c r="CC160" s="122">
        <f t="shared" si="305"/>
        <v>4412903.5977999819</v>
      </c>
      <c r="CD160" s="182">
        <f t="shared" si="306"/>
        <v>0</v>
      </c>
      <c r="CE160" s="122">
        <f t="shared" si="307"/>
        <v>430891.77838569693</v>
      </c>
      <c r="CF160" s="122">
        <f t="shared" si="308"/>
        <v>0</v>
      </c>
      <c r="CG160" s="122" t="str">
        <f t="shared" si="309"/>
        <v/>
      </c>
      <c r="CH160" s="140">
        <f t="shared" si="310"/>
        <v>1</v>
      </c>
      <c r="CI160" s="142">
        <f t="shared" si="311"/>
        <v>9984</v>
      </c>
      <c r="CJ160" s="134">
        <f>CI160*$C$57</f>
        <v>0</v>
      </c>
      <c r="CK160" s="142">
        <f t="shared" si="312"/>
        <v>14926</v>
      </c>
      <c r="CL160" s="134">
        <f>CK160*$C$57</f>
        <v>0</v>
      </c>
      <c r="CM160" s="142">
        <f t="shared" si="313"/>
        <v>58596</v>
      </c>
      <c r="CN160" s="134">
        <f>CM160*$C$57</f>
        <v>0</v>
      </c>
      <c r="CO160" s="132">
        <f t="shared" si="314"/>
        <v>129772.22069213037</v>
      </c>
      <c r="CP160" s="140">
        <f t="shared" si="315"/>
        <v>0.42</v>
      </c>
      <c r="CQ160" s="121" t="str">
        <f>IF($C$50="NEIN","NEIN",IF(CS160&lt;CR160,"JA","NEIN"))</f>
        <v>NEIN</v>
      </c>
      <c r="CR160" s="121">
        <f>CO160*$C$46</f>
        <v>34227.423207549386</v>
      </c>
      <c r="CS160" s="121">
        <f t="shared" si="316"/>
        <v>45236.802690694756</v>
      </c>
      <c r="CT160" s="201">
        <f>IF($C$50="NEIN",CR160,IF(CQ160="NEIN",CR160,CS160))</f>
        <v>34227.423207549386</v>
      </c>
      <c r="CU160" s="149"/>
      <c r="CV160" s="202">
        <f t="shared" si="317"/>
        <v>9984</v>
      </c>
      <c r="CW160" s="134">
        <f>CV160*$C$57</f>
        <v>0</v>
      </c>
      <c r="CX160" s="142">
        <f t="shared" si="318"/>
        <v>14926</v>
      </c>
      <c r="CY160" s="134">
        <f>CX160*$C$57</f>
        <v>0</v>
      </c>
      <c r="CZ160" s="142">
        <f t="shared" si="319"/>
        <v>58596</v>
      </c>
      <c r="DA160" s="143">
        <f>CZ160*$C$57</f>
        <v>0</v>
      </c>
      <c r="DB160" s="165">
        <f t="shared" si="320"/>
        <v>129772.22069213037</v>
      </c>
      <c r="DC160" s="140">
        <f t="shared" si="321"/>
        <v>0.42</v>
      </c>
      <c r="DD160" s="121" t="str">
        <f>IF($C$50="NEIN","NEIN",IF(DF160&lt;DE160,"JA","NEIN"))</f>
        <v>NEIN</v>
      </c>
      <c r="DE160" s="121">
        <f>DB160*$C$46</f>
        <v>34227.423207549386</v>
      </c>
      <c r="DF160" s="121">
        <f t="shared" si="322"/>
        <v>45236.802690694756</v>
      </c>
      <c r="DG160" s="201">
        <f>IF($C$50="NEIN",DE160,IF(DD160="NEIN",DE160,DF160))</f>
        <v>34227.423207549386</v>
      </c>
      <c r="DH160" s="97"/>
      <c r="DI160" s="125"/>
      <c r="DN160" s="75"/>
      <c r="DO160" s="28">
        <f t="shared" si="247"/>
        <v>2101</v>
      </c>
      <c r="DP160" s="17">
        <f>IF($C$13+$C$10&gt;=DO160,-#REF!,IF(DO160=$C$13+$C$10+1,$EK$93,0))</f>
        <v>0</v>
      </c>
      <c r="DQ160" s="17" t="e">
        <f t="shared" si="248"/>
        <v>#REF!</v>
      </c>
      <c r="DR160" s="17" t="e">
        <f t="shared" si="249"/>
        <v>#REF!</v>
      </c>
      <c r="DS160" s="17" t="e">
        <f>#REF!+EB159</f>
        <v>#REF!</v>
      </c>
      <c r="DT160" s="17" t="e">
        <f t="shared" si="191"/>
        <v>#REF!</v>
      </c>
      <c r="DU160" s="17" t="e">
        <f t="shared" si="250"/>
        <v>#REF!</v>
      </c>
      <c r="DV160" s="33" t="e">
        <f t="shared" si="192"/>
        <v>#REF!</v>
      </c>
      <c r="DW160" s="32" t="e">
        <f t="shared" si="193"/>
        <v>#REF!</v>
      </c>
      <c r="DX160" s="17" t="e">
        <f t="shared" si="251"/>
        <v>#REF!</v>
      </c>
      <c r="DY160" s="17" t="e">
        <f t="shared" si="252"/>
        <v>#REF!</v>
      </c>
      <c r="DZ160" s="17" t="e">
        <f t="shared" si="194"/>
        <v>#REF!</v>
      </c>
      <c r="EA160" s="17" t="e">
        <f t="shared" si="224"/>
        <v>#REF!</v>
      </c>
      <c r="EB160" s="15" t="e">
        <f t="shared" si="225"/>
        <v>#REF!</v>
      </c>
      <c r="EC160" s="15">
        <f>IF(DP160=0,EC159,IF(DO160&lt;=$EK$88+$C$10,ABS(DP160)+EC159,EC159))</f>
        <v>430891.77838569693</v>
      </c>
      <c r="ED160" s="15" t="e">
        <f t="shared" si="253"/>
        <v>#REF!</v>
      </c>
      <c r="EE160" s="16" t="e">
        <f t="shared" si="254"/>
        <v>#REF!</v>
      </c>
      <c r="EF160" s="15" t="e">
        <f>IF(DS160&lt;=0,0,DS160-#REF!)</f>
        <v>#REF!</v>
      </c>
      <c r="EG160" s="15" t="e">
        <f t="shared" si="255"/>
        <v>#REF!</v>
      </c>
      <c r="EH160" s="16"/>
      <c r="EI160" s="16"/>
      <c r="EJ160"/>
      <c r="EK160"/>
      <c r="EL160"/>
      <c r="EM160" s="28">
        <f t="shared" si="256"/>
        <v>2101</v>
      </c>
      <c r="EN160" s="29">
        <f>IF($C$13+$C$10&gt;=EM160,-(#REF!),IF(EM160=$C$13+$C$10+1,$FB$93,0))</f>
        <v>0</v>
      </c>
      <c r="EO160" s="30" t="e">
        <f t="shared" si="257"/>
        <v>#REF!</v>
      </c>
      <c r="EP160" s="30" t="e">
        <f t="shared" si="258"/>
        <v>#REF!</v>
      </c>
      <c r="EQ160" s="30" t="e">
        <f>#REF!-EV159</f>
        <v>#REF!</v>
      </c>
      <c r="ER160" s="25" t="e">
        <f t="shared" si="196"/>
        <v>#REF!</v>
      </c>
      <c r="ES160" s="30" t="e">
        <f t="shared" si="259"/>
        <v>#REF!</v>
      </c>
      <c r="ET160" s="26" t="e">
        <f t="shared" si="197"/>
        <v>#REF!</v>
      </c>
      <c r="EU160" s="30" t="e">
        <f t="shared" si="260"/>
        <v>#REF!</v>
      </c>
      <c r="EV160" s="25" t="e">
        <f t="shared" si="198"/>
        <v>#REF!</v>
      </c>
      <c r="EW160" s="31" t="e">
        <f t="shared" si="261"/>
        <v>#REF!</v>
      </c>
      <c r="EX160" s="27">
        <f>IF(EM160=0,EX159,IF(EM160&lt;=$FB$88+$C$10,ABS(EN160)+EX159,EX159))</f>
        <v>430891.77838569693</v>
      </c>
      <c r="EY160" s="15"/>
      <c r="EZ160"/>
      <c r="FA160"/>
      <c r="FB160"/>
      <c r="FJ160" s="28">
        <f t="shared" si="262"/>
        <v>2101</v>
      </c>
      <c r="FK160" s="65">
        <f>IF($C$13+$C$10&gt;=FJ160,-#REF!,IF(FJ160=$C$13+$C$10+1,$EK$93,0))</f>
        <v>0</v>
      </c>
      <c r="FL160" s="65">
        <f t="shared" si="263"/>
        <v>74118.803999999975</v>
      </c>
      <c r="FM160" s="65">
        <f t="shared" si="264"/>
        <v>3148013.0966270822</v>
      </c>
      <c r="FN160" s="65">
        <f>IF(FY159&gt;=$GF$97,0,#REF!+FW159)</f>
        <v>0</v>
      </c>
      <c r="FO160" s="65">
        <f t="shared" si="199"/>
        <v>3368374.0133909783</v>
      </c>
      <c r="FP160" s="65">
        <f t="shared" si="265"/>
        <v>220360.91676389612</v>
      </c>
      <c r="FQ160" s="59">
        <f t="shared" si="200"/>
        <v>1542.5264173472701</v>
      </c>
      <c r="FR160" s="60">
        <f t="shared" si="201"/>
        <v>67367.48026781957</v>
      </c>
      <c r="FS160" s="65">
        <f t="shared" si="266"/>
        <v>0</v>
      </c>
      <c r="FT160" s="65">
        <f t="shared" si="267"/>
        <v>0</v>
      </c>
      <c r="FU160" s="65">
        <f t="shared" si="202"/>
        <v>0</v>
      </c>
      <c r="FV160" s="65">
        <f t="shared" si="228"/>
        <v>12226.457294446187</v>
      </c>
      <c r="FW160" s="61">
        <f t="shared" si="229"/>
        <v>55141.022973373387</v>
      </c>
      <c r="FX160" s="61">
        <f>IF(AND(FJ160&lt;=$GF$88+$C$10,FV159&lt;=0,FN160&gt;0),(FJ160-$C$10+1)*#REF!+$GF$80,FX159)</f>
        <v>73074.599999999977</v>
      </c>
      <c r="FY160" s="62">
        <f t="shared" si="230"/>
        <v>57.872954041789882</v>
      </c>
      <c r="FZ160" s="63">
        <f t="shared" si="268"/>
        <v>3368374.0133909783</v>
      </c>
      <c r="GA160" s="64">
        <f t="shared" si="269"/>
        <v>64245.165237287394</v>
      </c>
      <c r="GB160" s="64">
        <f t="shared" si="270"/>
        <v>1353525.4704160385</v>
      </c>
      <c r="GC160" s="66">
        <f>IF(FN160&lt;=0,0,FN160-#REF!)</f>
        <v>0</v>
      </c>
      <c r="GD160" s="64">
        <f t="shared" si="271"/>
        <v>1580.6039999999994</v>
      </c>
      <c r="GE160"/>
      <c r="GF160"/>
      <c r="GI160" s="28">
        <f t="shared" si="272"/>
        <v>2101</v>
      </c>
      <c r="GJ160" s="9">
        <f>IF($GX$88+$C$10&gt;=GI160,-#REF!,IF(GI160=$GX$88+$C$10+1,$FB$93,0))</f>
        <v>0</v>
      </c>
      <c r="GK160" s="5" t="e">
        <f t="shared" si="273"/>
        <v>#REF!</v>
      </c>
      <c r="GL160" s="5" t="e">
        <f t="shared" si="274"/>
        <v>#REF!</v>
      </c>
      <c r="GM160" s="35" t="e">
        <f>IF(FX159=$GF$94,#REF!-GR159+FW159,0)</f>
        <v>#REF!</v>
      </c>
      <c r="GN160" s="4" t="e">
        <f t="shared" si="204"/>
        <v>#REF!</v>
      </c>
      <c r="GO160" s="5" t="e">
        <f t="shared" si="275"/>
        <v>#REF!</v>
      </c>
      <c r="GP160" s="5" t="e">
        <f t="shared" si="205"/>
        <v>#REF!</v>
      </c>
      <c r="GQ160" s="5" t="e">
        <f t="shared" si="276"/>
        <v>#REF!</v>
      </c>
      <c r="GR160" s="4" t="e">
        <f t="shared" si="206"/>
        <v>#REF!</v>
      </c>
      <c r="GS160" s="7" t="e">
        <f t="shared" si="277"/>
        <v>#REF!</v>
      </c>
      <c r="GT160" s="107" t="e">
        <f>IF($DG$62=0,EX160,IF(GI160-$C$10+1&lt;=$GF$98,0,#REF!-FX160))</f>
        <v>#REF!</v>
      </c>
      <c r="GU160"/>
      <c r="GV160"/>
      <c r="GW160"/>
      <c r="GX160"/>
    </row>
    <row r="161" spans="2:206" ht="16.149999999999999" thickBot="1" x14ac:dyDescent="0.55000000000000004">
      <c r="B161" s="333"/>
      <c r="C161" s="75"/>
      <c r="D161" s="75"/>
      <c r="F161" s="75"/>
      <c r="G161" s="75"/>
      <c r="H161" s="75"/>
      <c r="I161" s="75"/>
      <c r="J161" s="75"/>
      <c r="K161" s="75"/>
      <c r="L161" s="75"/>
      <c r="M161" s="75"/>
      <c r="O161" s="75"/>
      <c r="P161" s="75"/>
      <c r="Q161" s="75"/>
      <c r="R161" s="75"/>
      <c r="S161" s="290"/>
      <c r="T161" s="291"/>
      <c r="U161" s="291"/>
      <c r="V161" s="292"/>
      <c r="W161" s="292"/>
      <c r="AB161" s="117">
        <f t="shared" si="207"/>
        <v>109</v>
      </c>
      <c r="AC161" s="117">
        <f t="shared" si="208"/>
        <v>2102</v>
      </c>
      <c r="AD161" s="299">
        <f>IF($C$20="NEIN",$C$21,IF($C$22="JA",'HISTORISCHE RENDITEN'!E85,'HISTORISCHE RENDITEN'!D85))</f>
        <v>7.0900000000000005E-2</v>
      </c>
      <c r="AE161" s="129">
        <f t="shared" si="278"/>
        <v>109</v>
      </c>
      <c r="AF161" s="120">
        <f t="shared" si="280"/>
        <v>2102</v>
      </c>
      <c r="AG161" s="122">
        <f t="shared" si="281"/>
        <v>0</v>
      </c>
      <c r="AH161" s="124">
        <f t="shared" si="282"/>
        <v>430891.77838569693</v>
      </c>
      <c r="AI161" s="296">
        <f t="shared" si="283"/>
        <v>-1799482.5700616422</v>
      </c>
      <c r="AJ161" s="123">
        <f t="shared" si="233"/>
        <v>0</v>
      </c>
      <c r="AK161" s="124">
        <f t="shared" si="284"/>
        <v>-1927065.8842790127</v>
      </c>
      <c r="AL161" s="122">
        <f t="shared" si="285"/>
        <v>-127583.31421737047</v>
      </c>
      <c r="AM161" s="122" t="b">
        <f>IF($C$25="Ausschütter",0,IF(AL161&gt;=0,(AI161+AJ161)*$C$48*0.7))</f>
        <v>0</v>
      </c>
      <c r="AN161" s="122">
        <f t="shared" si="177"/>
        <v>0</v>
      </c>
      <c r="AO161" s="122">
        <f t="shared" si="212"/>
        <v>0</v>
      </c>
      <c r="AP161" s="122">
        <f t="shared" si="286"/>
        <v>22574.024192443576</v>
      </c>
      <c r="AQ161" s="122">
        <f>IF($C$25="AUSSCHÜTTER",0,IF(AO161*$C$46*$C$49&lt;=$C$47,0,AO161*$C$46*$C$49))</f>
        <v>0</v>
      </c>
      <c r="AR161" s="122">
        <f>IF(AO160*$C$49&gt;$C$47,(AN161)*$C$49*$C$46,IF((AO160+AN161)*$C$49&gt;$C$47,((AO160+AN161)*$C$49-$C$47)*$C$46,0))</f>
        <v>0</v>
      </c>
      <c r="AS161" s="122">
        <f t="shared" si="287"/>
        <v>0</v>
      </c>
      <c r="AT161" s="122">
        <f t="shared" si="288"/>
        <v>430891.77838569693</v>
      </c>
      <c r="AU161" s="122">
        <f t="shared" si="289"/>
        <v>0</v>
      </c>
      <c r="AV161" s="122">
        <f t="shared" si="290"/>
        <v>-1927065.8842790127</v>
      </c>
      <c r="AW161" s="122">
        <f t="shared" si="214"/>
        <v>0</v>
      </c>
      <c r="AX161" s="130">
        <f t="shared" si="215"/>
        <v>0</v>
      </c>
      <c r="AY161" s="82">
        <f>IF(AF161&lt;$C$11,$C$15*(1+$C$19)^(AF161-$C$10),0)</f>
        <v>0</v>
      </c>
      <c r="AZ161" s="82">
        <f>$C$14*(1+$C$37)^(AF161-$C$10)</f>
        <v>133016.52620943362</v>
      </c>
      <c r="BA161" s="165">
        <f>IF(AF161&lt;$C$11,0,MAX($C$38*AI161,AZ161))</f>
        <v>133016.52620943362</v>
      </c>
      <c r="BB161" s="82">
        <f>IF(AF161&lt;$C$11,0,MAX($C$38*AI161,AZ161))</f>
        <v>133016.52620943362</v>
      </c>
      <c r="BC161" s="136">
        <f>IF($C$39="JA",CT161,DG161)</f>
        <v>35083.108787738114</v>
      </c>
      <c r="BD161" s="82">
        <f t="shared" si="178"/>
        <v>0</v>
      </c>
      <c r="BE161" s="82">
        <f>IF(AF161&lt;($C$8+$C$30),0,$C$29*12*(1-$C$31))</f>
        <v>0</v>
      </c>
      <c r="BF161" s="82">
        <f>IF(AF161&lt;($C$8+$C$34),0,$C$33*12*(1-$C$35))</f>
        <v>0</v>
      </c>
      <c r="BG161" s="82">
        <f>IF(AF161&lt;$C$11,0,IF(AI161&lt;0,$C$42*(1+$C$44)^(AF161-$C$10),IF(((AL161+BE161+BF161)*$C$41)&lt;$C$42*(1+$C$44)^(AF161-$C$10),$C$42*(1+$C$44)^(AF161-$C$10),IF(((AL161+BE161+BF161)*$C$41)&lt;$C$43*(1+$C$44)^(AF161-$C$10),(AL161+BE161+BF161)*$C$41,IF(((AL161+BE161+BF161+BB161)*$C$41)&lt;$C$43*(1+$C$44)^(AF161-$C$10),((AL161+BE161+BF161+BB161)*$C$41),$C$43*(1+$C$44)^(AF161-$C$10))))))</f>
        <v>8016.0545491071489</v>
      </c>
      <c r="BH161" s="82">
        <f t="shared" si="238"/>
        <v>176115.68954627888</v>
      </c>
      <c r="BI161" s="242">
        <f t="shared" si="291"/>
        <v>-1927065.8842790127</v>
      </c>
      <c r="BJ161" s="217">
        <f t="shared" si="292"/>
        <v>-2103181.5738252914</v>
      </c>
      <c r="BK161" s="118"/>
      <c r="BL161" s="219">
        <f t="shared" si="293"/>
        <v>65</v>
      </c>
      <c r="BM161" s="220">
        <f t="shared" si="294"/>
        <v>82</v>
      </c>
      <c r="BN161" s="220">
        <f t="shared" si="295"/>
        <v>0</v>
      </c>
      <c r="BO161" s="221">
        <f t="shared" si="296"/>
        <v>0</v>
      </c>
      <c r="BP161" s="221">
        <f t="shared" si="297"/>
        <v>0</v>
      </c>
      <c r="BQ161" s="222">
        <f t="shared" si="298"/>
        <v>0</v>
      </c>
      <c r="BR161" s="223">
        <f>IF(BM161&lt;$C$11-$C$10+1,0,IF(BL161&lt;=$C$13,VLOOKUP(BL161,$BN$80:$BQ$156,2,FALSE)-BS161,0))</f>
        <v>0</v>
      </c>
      <c r="BS161" s="223">
        <f>IF(BM161&lt;$C$11-$C$10+1,0,IF(BL161&lt;=$C$13,VLOOKUP(BL161,$BN$80:$BQ$156,3,FALSE),0))</f>
        <v>0</v>
      </c>
      <c r="BT161" s="222">
        <f>IF(BM161&lt;$C$11-$C$10+1,0,IF(BL161&lt;=$C$13,VLOOKUP(BL161,$BN$80:$BQ$156,4,FALSE),0))</f>
        <v>0</v>
      </c>
      <c r="BU161" s="223">
        <f t="shared" si="299"/>
        <v>0</v>
      </c>
      <c r="BV161" s="223">
        <f t="shared" si="300"/>
        <v>0</v>
      </c>
      <c r="BW161" s="223">
        <f t="shared" si="301"/>
        <v>0</v>
      </c>
      <c r="BX161" s="223">
        <f>IF(AND(BS161&lt;=0,BN161=0),MIN((MAX($BZ$80:$BZ$156)-SUM($BX$80:BX160)),CA161),IF(BS161&lt;CA161,BS161,CA161))</f>
        <v>0</v>
      </c>
      <c r="BY161" s="222">
        <f>IF(BN161&gt;0,0,IF(AND(BN161=0,BT161&lt;=0),100%,((BW160*(AVERAGE($BT$80:BT160))+(BR161*BT161))/(BR161+BW160+BS161+BV160))))</f>
        <v>1</v>
      </c>
      <c r="BZ161" s="139">
        <f t="shared" si="302"/>
        <v>430891.77838569693</v>
      </c>
      <c r="CA161" s="122">
        <f t="shared" si="303"/>
        <v>133016.52620943362</v>
      </c>
      <c r="CB161" s="181">
        <f t="shared" si="304"/>
        <v>1</v>
      </c>
      <c r="CC161" s="122">
        <f t="shared" si="305"/>
        <v>4545920.1240094155</v>
      </c>
      <c r="CD161" s="182">
        <f t="shared" si="306"/>
        <v>0</v>
      </c>
      <c r="CE161" s="122">
        <f t="shared" si="307"/>
        <v>430891.77838569693</v>
      </c>
      <c r="CF161" s="122">
        <f t="shared" si="308"/>
        <v>0</v>
      </c>
      <c r="CG161" s="122" t="str">
        <f t="shared" si="309"/>
        <v/>
      </c>
      <c r="CH161" s="140">
        <f t="shared" si="310"/>
        <v>1</v>
      </c>
      <c r="CI161" s="142">
        <f t="shared" si="311"/>
        <v>9984</v>
      </c>
      <c r="CJ161" s="134">
        <f>CI161*$C$57</f>
        <v>0</v>
      </c>
      <c r="CK161" s="142">
        <f t="shared" si="312"/>
        <v>14926</v>
      </c>
      <c r="CL161" s="134">
        <f>CK161*$C$57</f>
        <v>0</v>
      </c>
      <c r="CM161" s="142">
        <f t="shared" si="313"/>
        <v>58596</v>
      </c>
      <c r="CN161" s="134">
        <f>CM161*$C$57</f>
        <v>0</v>
      </c>
      <c r="CO161" s="132">
        <f t="shared" si="314"/>
        <v>133016.52620943362</v>
      </c>
      <c r="CP161" s="140">
        <f t="shared" si="315"/>
        <v>0.42</v>
      </c>
      <c r="CQ161" s="121" t="str">
        <f>IF($C$50="NEIN","NEIN",IF(CS161&lt;CR161,"JA","NEIN"))</f>
        <v>NEIN</v>
      </c>
      <c r="CR161" s="121">
        <f>CO161*$C$46</f>
        <v>35083.108787738114</v>
      </c>
      <c r="CS161" s="121">
        <f t="shared" si="316"/>
        <v>46599.411007962117</v>
      </c>
      <c r="CT161" s="201">
        <f>IF($C$50="NEIN",CR161,IF(CQ161="NEIN",CR161,CS161))</f>
        <v>35083.108787738114</v>
      </c>
      <c r="CU161" s="149"/>
      <c r="CV161" s="202">
        <f t="shared" si="317"/>
        <v>9984</v>
      </c>
      <c r="CW161" s="134">
        <f>CV161*$C$57</f>
        <v>0</v>
      </c>
      <c r="CX161" s="142">
        <f t="shared" si="318"/>
        <v>14926</v>
      </c>
      <c r="CY161" s="134">
        <f>CX161*$C$57</f>
        <v>0</v>
      </c>
      <c r="CZ161" s="142">
        <f t="shared" si="319"/>
        <v>58596</v>
      </c>
      <c r="DA161" s="143">
        <f>CZ161*$C$57</f>
        <v>0</v>
      </c>
      <c r="DB161" s="165">
        <f t="shared" si="320"/>
        <v>133016.52620943362</v>
      </c>
      <c r="DC161" s="140">
        <f t="shared" si="321"/>
        <v>0.42</v>
      </c>
      <c r="DD161" s="121" t="str">
        <f>IF($C$50="NEIN","NEIN",IF(DF161&lt;DE161,"JA","NEIN"))</f>
        <v>NEIN</v>
      </c>
      <c r="DE161" s="121">
        <f>DB161*$C$46</f>
        <v>35083.108787738114</v>
      </c>
      <c r="DF161" s="121">
        <f t="shared" si="322"/>
        <v>46599.411007962117</v>
      </c>
      <c r="DG161" s="201">
        <f>IF($C$50="NEIN",DE161,IF(DD161="NEIN",DE161,DF161))</f>
        <v>35083.108787738114</v>
      </c>
      <c r="DH161" s="97"/>
      <c r="DI161" s="125"/>
      <c r="DN161" s="75"/>
      <c r="DO161" s="28">
        <f t="shared" si="247"/>
        <v>2102</v>
      </c>
      <c r="DP161" s="17">
        <f>IF($C$13+$C$10&gt;=DO161,-#REF!,IF(DO161=$C$13+$C$10+1,$EK$93,0))</f>
        <v>0</v>
      </c>
      <c r="DQ161" s="17" t="e">
        <f t="shared" si="248"/>
        <v>#REF!</v>
      </c>
      <c r="DR161" s="17" t="e">
        <f t="shared" si="249"/>
        <v>#REF!</v>
      </c>
      <c r="DS161" s="17" t="e">
        <f>#REF!+EB160</f>
        <v>#REF!</v>
      </c>
      <c r="DT161" s="17" t="e">
        <f t="shared" si="191"/>
        <v>#REF!</v>
      </c>
      <c r="DU161" s="17" t="e">
        <f t="shared" si="250"/>
        <v>#REF!</v>
      </c>
      <c r="DV161" s="33" t="e">
        <f t="shared" si="192"/>
        <v>#REF!</v>
      </c>
      <c r="DW161" s="32" t="e">
        <f t="shared" si="193"/>
        <v>#REF!</v>
      </c>
      <c r="DX161" s="17" t="e">
        <f t="shared" si="251"/>
        <v>#REF!</v>
      </c>
      <c r="DY161" s="17" t="e">
        <f t="shared" si="252"/>
        <v>#REF!</v>
      </c>
      <c r="DZ161" s="17" t="e">
        <f t="shared" si="194"/>
        <v>#REF!</v>
      </c>
      <c r="EA161" s="17" t="e">
        <f t="shared" si="224"/>
        <v>#REF!</v>
      </c>
      <c r="EB161" s="15" t="e">
        <f t="shared" si="225"/>
        <v>#REF!</v>
      </c>
      <c r="EC161" s="15">
        <f>IF(DP161=0,EC160,IF(DO161&lt;=$EK$88+$C$10,ABS(DP161)+EC160,EC160))</f>
        <v>430891.77838569693</v>
      </c>
      <c r="ED161" s="15" t="e">
        <f t="shared" si="253"/>
        <v>#REF!</v>
      </c>
      <c r="EE161" s="16" t="e">
        <f t="shared" si="254"/>
        <v>#REF!</v>
      </c>
      <c r="EF161" s="15" t="e">
        <f>IF(DS161&lt;=0,0,DS161-#REF!)</f>
        <v>#REF!</v>
      </c>
      <c r="EG161" s="15" t="e">
        <f t="shared" si="255"/>
        <v>#REF!</v>
      </c>
      <c r="EH161" s="16"/>
      <c r="EI161" s="16"/>
      <c r="EJ161"/>
      <c r="EK161"/>
      <c r="EL161"/>
      <c r="EM161" s="28">
        <f t="shared" si="256"/>
        <v>2102</v>
      </c>
      <c r="EN161" s="29">
        <f>IF($C$13+$C$10&gt;=EM161,-(#REF!),IF(EM161=$C$13+$C$10+1,$FB$93,0))</f>
        <v>0</v>
      </c>
      <c r="EO161" s="30" t="e">
        <f t="shared" si="257"/>
        <v>#REF!</v>
      </c>
      <c r="EP161" s="30" t="e">
        <f t="shared" si="258"/>
        <v>#REF!</v>
      </c>
      <c r="EQ161" s="30" t="e">
        <f>#REF!-EV160</f>
        <v>#REF!</v>
      </c>
      <c r="ER161" s="25" t="e">
        <f t="shared" si="196"/>
        <v>#REF!</v>
      </c>
      <c r="ES161" s="30" t="e">
        <f t="shared" si="259"/>
        <v>#REF!</v>
      </c>
      <c r="ET161" s="26" t="e">
        <f t="shared" si="197"/>
        <v>#REF!</v>
      </c>
      <c r="EU161" s="30" t="e">
        <f t="shared" si="260"/>
        <v>#REF!</v>
      </c>
      <c r="EV161" s="25" t="e">
        <f t="shared" si="198"/>
        <v>#REF!</v>
      </c>
      <c r="EW161" s="31" t="e">
        <f t="shared" si="261"/>
        <v>#REF!</v>
      </c>
      <c r="EX161" s="27">
        <f>IF(EM161=0,EX160,IF(EM161&lt;=$FB$88+$C$10,ABS(EN161)+EX160,EX160))</f>
        <v>430891.77838569693</v>
      </c>
      <c r="EY161" s="15"/>
      <c r="EZ161"/>
      <c r="FA161"/>
      <c r="FB161"/>
      <c r="FJ161" s="28">
        <f t="shared" si="262"/>
        <v>2102</v>
      </c>
      <c r="FK161" s="65">
        <f>IF($C$13+$C$10&gt;=FJ161,-#REF!,IF(FJ161=$C$13+$C$10+1,$EK$93,0))</f>
        <v>0</v>
      </c>
      <c r="FL161" s="65">
        <f t="shared" si="263"/>
        <v>74118.803999999975</v>
      </c>
      <c r="FM161" s="65">
        <f t="shared" si="264"/>
        <v>3301006.5331231588</v>
      </c>
      <c r="FN161" s="65">
        <f>IF(FY160&gt;=$GF$97,0,#REF!+FW160)</f>
        <v>0</v>
      </c>
      <c r="FO161" s="65">
        <f t="shared" si="199"/>
        <v>3532076.9904417801</v>
      </c>
      <c r="FP161" s="65">
        <f t="shared" si="265"/>
        <v>231070.45731862122</v>
      </c>
      <c r="FQ161" s="59">
        <f t="shared" si="200"/>
        <v>1617.4932012303477</v>
      </c>
      <c r="FR161" s="60">
        <f t="shared" si="201"/>
        <v>70641.539808835601</v>
      </c>
      <c r="FS161" s="65">
        <f t="shared" si="266"/>
        <v>0</v>
      </c>
      <c r="FT161" s="65">
        <f t="shared" si="267"/>
        <v>0</v>
      </c>
      <c r="FU161" s="65">
        <f t="shared" si="202"/>
        <v>0</v>
      </c>
      <c r="FV161" s="65">
        <f t="shared" si="228"/>
        <v>12830.930537206272</v>
      </c>
      <c r="FW161" s="61">
        <f t="shared" si="229"/>
        <v>57810.609271629328</v>
      </c>
      <c r="FX161" s="61">
        <f>IF(AND(FJ161&lt;=$GF$88+$C$10,FV160&lt;=0,FN161&gt;0),(FJ161-$C$10+1)*#REF!+$GF$80,FX160)</f>
        <v>73074.599999999977</v>
      </c>
      <c r="FY161" s="62">
        <f t="shared" si="230"/>
        <v>60.73417960822087</v>
      </c>
      <c r="FZ161" s="63">
        <f t="shared" si="268"/>
        <v>3532076.9904417801</v>
      </c>
      <c r="GA161" s="64">
        <f t="shared" si="269"/>
        <v>67367.48026781957</v>
      </c>
      <c r="GB161" s="64">
        <f t="shared" si="270"/>
        <v>1420892.950683858</v>
      </c>
      <c r="GC161" s="66">
        <f>IF(FN161&lt;=0,0,FN161-#REF!)</f>
        <v>0</v>
      </c>
      <c r="GD161" s="64">
        <f t="shared" si="271"/>
        <v>1580.6039999999994</v>
      </c>
      <c r="GE161"/>
      <c r="GF161"/>
      <c r="GI161" s="28">
        <f t="shared" si="272"/>
        <v>2102</v>
      </c>
      <c r="GJ161" s="9">
        <f>IF($GX$88+$C$10&gt;=GI161,-#REF!,IF(GI161=$GX$88+$C$10+1,$FB$93,0))</f>
        <v>0</v>
      </c>
      <c r="GK161" s="5" t="e">
        <f t="shared" si="273"/>
        <v>#REF!</v>
      </c>
      <c r="GL161" s="5" t="e">
        <f t="shared" si="274"/>
        <v>#REF!</v>
      </c>
      <c r="GM161" s="35" t="e">
        <f>IF(FX160=$GF$94,#REF!-GR160+FW160,0)</f>
        <v>#REF!</v>
      </c>
      <c r="GN161" s="4" t="e">
        <f t="shared" si="204"/>
        <v>#REF!</v>
      </c>
      <c r="GO161" s="5" t="e">
        <f t="shared" si="275"/>
        <v>#REF!</v>
      </c>
      <c r="GP161" s="5" t="e">
        <f t="shared" si="205"/>
        <v>#REF!</v>
      </c>
      <c r="GQ161" s="5" t="e">
        <f t="shared" si="276"/>
        <v>#REF!</v>
      </c>
      <c r="GR161" s="4" t="e">
        <f t="shared" si="206"/>
        <v>#REF!</v>
      </c>
      <c r="GS161" s="7" t="e">
        <f t="shared" si="277"/>
        <v>#REF!</v>
      </c>
      <c r="GT161" s="107" t="e">
        <f>IF($DG$62=0,EX161,IF(GI161-$C$10+1&lt;=$GF$98,0,#REF!-FX161))</f>
        <v>#REF!</v>
      </c>
      <c r="GU161"/>
      <c r="GV161"/>
      <c r="GW161"/>
      <c r="GX161"/>
    </row>
    <row r="162" spans="2:206" ht="16.149999999999999" thickBot="1" x14ac:dyDescent="0.55000000000000004">
      <c r="B162" s="333"/>
      <c r="C162" s="75"/>
      <c r="D162" s="75"/>
      <c r="F162" s="75"/>
      <c r="G162" s="75"/>
      <c r="H162" s="75"/>
      <c r="I162" s="75"/>
      <c r="J162" s="75"/>
      <c r="K162" s="75"/>
      <c r="L162" s="75"/>
      <c r="M162" s="75"/>
      <c r="O162" s="75"/>
      <c r="P162" s="75"/>
      <c r="Q162" s="75"/>
      <c r="R162" s="75"/>
      <c r="S162" s="290"/>
      <c r="T162" s="291"/>
      <c r="U162" s="291"/>
      <c r="V162" s="292"/>
      <c r="W162" s="292"/>
      <c r="AB162" s="117">
        <f t="shared" si="207"/>
        <v>110</v>
      </c>
      <c r="AC162" s="117">
        <f t="shared" si="208"/>
        <v>2103</v>
      </c>
      <c r="AD162" s="299">
        <f>IF($C$20="NEIN",$C$21,IF($C$22="JA",'HISTORISCHE RENDITEN'!E86,'HISTORISCHE RENDITEN'!D86))</f>
        <v>-0.42080000000000001</v>
      </c>
      <c r="AE162" s="129">
        <f t="shared" si="278"/>
        <v>110</v>
      </c>
      <c r="AF162" s="120">
        <f t="shared" si="280"/>
        <v>2103</v>
      </c>
      <c r="AG162" s="122">
        <f t="shared" si="281"/>
        <v>0</v>
      </c>
      <c r="AH162" s="124">
        <f t="shared" si="282"/>
        <v>430891.77838569693</v>
      </c>
      <c r="AI162" s="296">
        <f t="shared" si="283"/>
        <v>-2103181.5738252914</v>
      </c>
      <c r="AJ162" s="123">
        <f t="shared" si="233"/>
        <v>0</v>
      </c>
      <c r="AK162" s="124">
        <f t="shared" si="284"/>
        <v>-1218162.7675596087</v>
      </c>
      <c r="AL162" s="122">
        <f t="shared" si="285"/>
        <v>885018.80626568268</v>
      </c>
      <c r="AM162" s="122">
        <f>IF($C$25="Ausschütter",0,IF(AL162&gt;=0,(AI162+AJ162)*$C$48*0.7))</f>
        <v>-1030.5589711743928</v>
      </c>
      <c r="AN162" s="122">
        <f t="shared" si="177"/>
        <v>0</v>
      </c>
      <c r="AO162" s="122">
        <f t="shared" si="212"/>
        <v>-1030.5589711743928</v>
      </c>
      <c r="AP162" s="122">
        <f t="shared" si="286"/>
        <v>21543.465221269184</v>
      </c>
      <c r="AQ162" s="122">
        <f>IF($C$25="AUSSCHÜTTER",0,IF(AO162*$C$46*$C$49&lt;=$C$47,0,AO162*$C$46*$C$49))</f>
        <v>0</v>
      </c>
      <c r="AR162" s="122">
        <f>IF(AO161*$C$49&gt;$C$47,(AN162)*$C$49*$C$46,IF((AO161+AN162)*$C$49&gt;$C$47,((AO161+AN162)*$C$49-$C$47)*$C$46,0))</f>
        <v>0</v>
      </c>
      <c r="AS162" s="122">
        <f t="shared" si="287"/>
        <v>0</v>
      </c>
      <c r="AT162" s="122">
        <f t="shared" si="288"/>
        <v>430891.77838569693</v>
      </c>
      <c r="AU162" s="122">
        <f t="shared" si="289"/>
        <v>0</v>
      </c>
      <c r="AV162" s="122">
        <f t="shared" si="290"/>
        <v>-1218162.7675596087</v>
      </c>
      <c r="AW162" s="122">
        <f t="shared" si="214"/>
        <v>0</v>
      </c>
      <c r="AX162" s="130">
        <f t="shared" si="215"/>
        <v>0</v>
      </c>
      <c r="AY162" s="82">
        <f>IF(AF162&lt;$C$11,$C$15*(1+$C$19)^(AF162-$C$10),0)</f>
        <v>0</v>
      </c>
      <c r="AZ162" s="82">
        <f>$C$14*(1+$C$37)^(AF162-$C$10)</f>
        <v>136341.93936466947</v>
      </c>
      <c r="BA162" s="165">
        <f>IF(AF162&lt;$C$11,0,MAX($C$38*AI162,AZ162))</f>
        <v>136341.93936466947</v>
      </c>
      <c r="BB162" s="82">
        <f>IF(AF162&lt;$C$11,0,MAX($C$38*AI162,AZ162))</f>
        <v>136341.93936466947</v>
      </c>
      <c r="BC162" s="136">
        <f>IF($C$39="JA",CT162,DG162)</f>
        <v>35960.186507431572</v>
      </c>
      <c r="BD162" s="82">
        <f t="shared" si="178"/>
        <v>0</v>
      </c>
      <c r="BE162" s="82">
        <f>IF(AF162&lt;($C$8+$C$30),0,$C$29*12*(1-$C$31))</f>
        <v>0</v>
      </c>
      <c r="BF162" s="82">
        <f>IF(AF162&lt;($C$8+$C$34),0,$C$33*12*(1-$C$35))</f>
        <v>0</v>
      </c>
      <c r="BG162" s="82">
        <f>IF(AF162&lt;$C$11,0,IF(AI162&lt;0,$C$42*(1+$C$44)^(AF162-$C$10),IF(((AL162+BE162+BF162)*$C$41)&lt;$C$42*(1+$C$44)^(AF162-$C$10),$C$42*(1+$C$44)^(AF162-$C$10),IF(((AL162+BE162+BF162)*$C$41)&lt;$C$43*(1+$C$44)^(AF162-$C$10),(AL162+BE162+BF162)*$C$41,IF(((AL162+BE162+BF162+BB162)*$C$41)&lt;$C$43*(1+$C$44)^(AF162-$C$10),((AL162+BE162+BF162+BB162)*$C$41),$C$43*(1+$C$44)^(AF162-$C$10))))))</f>
        <v>8136.2953673437551</v>
      </c>
      <c r="BH162" s="82">
        <f t="shared" si="238"/>
        <v>180438.42123944481</v>
      </c>
      <c r="BI162" s="242">
        <f t="shared" si="291"/>
        <v>-1218162.7675596087</v>
      </c>
      <c r="BJ162" s="217">
        <f t="shared" si="292"/>
        <v>-1398601.1887990534</v>
      </c>
      <c r="BK162" s="118"/>
      <c r="BL162" s="219">
        <f t="shared" si="293"/>
        <v>66</v>
      </c>
      <c r="BM162" s="220">
        <f t="shared" si="294"/>
        <v>83</v>
      </c>
      <c r="BN162" s="220">
        <f t="shared" si="295"/>
        <v>0</v>
      </c>
      <c r="BO162" s="221">
        <f t="shared" si="296"/>
        <v>0</v>
      </c>
      <c r="BP162" s="221">
        <f t="shared" si="297"/>
        <v>0</v>
      </c>
      <c r="BQ162" s="222">
        <f t="shared" si="298"/>
        <v>0</v>
      </c>
      <c r="BR162" s="223">
        <f>IF(BM162&lt;$C$11-$C$10+1,0,IF(BL162&lt;=$C$13,VLOOKUP(BL162,$BN$80:$BQ$156,2,FALSE)-BS162,0))</f>
        <v>0</v>
      </c>
      <c r="BS162" s="223">
        <f>IF(BM162&lt;$C$11-$C$10+1,0,IF(BL162&lt;=$C$13,VLOOKUP(BL162,$BN$80:$BQ$156,3,FALSE),0))</f>
        <v>0</v>
      </c>
      <c r="BT162" s="222">
        <f>IF(BM162&lt;$C$11-$C$10+1,0,IF(BL162&lt;=$C$13,VLOOKUP(BL162,$BN$80:$BQ$156,4,FALSE),0))</f>
        <v>0</v>
      </c>
      <c r="BU162" s="223">
        <f t="shared" si="299"/>
        <v>0</v>
      </c>
      <c r="BV162" s="223">
        <f t="shared" si="300"/>
        <v>0</v>
      </c>
      <c r="BW162" s="223">
        <f t="shared" si="301"/>
        <v>0</v>
      </c>
      <c r="BX162" s="223">
        <f>IF(AND(BS162&lt;=0,BN162=0),MIN((MAX($BZ$80:$BZ$156)-SUM($BX$80:BX161)),CA162),IF(BS162&lt;CA162,BS162,CA162))</f>
        <v>0</v>
      </c>
      <c r="BY162" s="222">
        <f>IF(BN162&gt;0,0,IF(AND(BN162=0,BT162&lt;=0),100%,((BW161*(AVERAGE($BT$80:BT161))+(BR162*BT162))/(BR162+BW161+BS162+BV161))))</f>
        <v>1</v>
      </c>
      <c r="BZ162" s="139">
        <f t="shared" si="302"/>
        <v>430891.77838569693</v>
      </c>
      <c r="CA162" s="122">
        <f t="shared" si="303"/>
        <v>136341.93936466947</v>
      </c>
      <c r="CB162" s="181">
        <f t="shared" si="304"/>
        <v>1</v>
      </c>
      <c r="CC162" s="122">
        <f t="shared" si="305"/>
        <v>4682262.0633740854</v>
      </c>
      <c r="CD162" s="182">
        <f t="shared" si="306"/>
        <v>0</v>
      </c>
      <c r="CE162" s="122">
        <f t="shared" si="307"/>
        <v>430891.77838569693</v>
      </c>
      <c r="CF162" s="122">
        <f t="shared" si="308"/>
        <v>0</v>
      </c>
      <c r="CG162" s="122" t="str">
        <f t="shared" si="309"/>
        <v/>
      </c>
      <c r="CH162" s="140">
        <f t="shared" si="310"/>
        <v>1</v>
      </c>
      <c r="CI162" s="142">
        <f t="shared" si="311"/>
        <v>9984</v>
      </c>
      <c r="CJ162" s="134">
        <f>CI162*$C$57</f>
        <v>0</v>
      </c>
      <c r="CK162" s="142">
        <f t="shared" si="312"/>
        <v>14926</v>
      </c>
      <c r="CL162" s="134">
        <f>CK162*$C$57</f>
        <v>0</v>
      </c>
      <c r="CM162" s="142">
        <f t="shared" si="313"/>
        <v>58596</v>
      </c>
      <c r="CN162" s="134">
        <f>CM162*$C$57</f>
        <v>0</v>
      </c>
      <c r="CO162" s="132">
        <f t="shared" si="314"/>
        <v>136341.93936466947</v>
      </c>
      <c r="CP162" s="140">
        <f t="shared" si="315"/>
        <v>0.42</v>
      </c>
      <c r="CQ162" s="121" t="str">
        <f>IF($C$50="NEIN","NEIN",IF(CS162&lt;CR162,"JA","NEIN"))</f>
        <v>NEIN</v>
      </c>
      <c r="CR162" s="121">
        <f>CO162*$C$46</f>
        <v>35960.186507431572</v>
      </c>
      <c r="CS162" s="121">
        <f t="shared" si="316"/>
        <v>47996.084533161178</v>
      </c>
      <c r="CT162" s="201">
        <f>IF($C$50="NEIN",CR162,IF(CQ162="NEIN",CR162,CS162))</f>
        <v>35960.186507431572</v>
      </c>
      <c r="CU162" s="149"/>
      <c r="CV162" s="202">
        <f t="shared" si="317"/>
        <v>9984</v>
      </c>
      <c r="CW162" s="134">
        <f>CV162*$C$57</f>
        <v>0</v>
      </c>
      <c r="CX162" s="142">
        <f t="shared" si="318"/>
        <v>14926</v>
      </c>
      <c r="CY162" s="134">
        <f>CX162*$C$57</f>
        <v>0</v>
      </c>
      <c r="CZ162" s="142">
        <f t="shared" si="319"/>
        <v>58596</v>
      </c>
      <c r="DA162" s="143">
        <f>CZ162*$C$57</f>
        <v>0</v>
      </c>
      <c r="DB162" s="165">
        <f t="shared" si="320"/>
        <v>136341.93936466947</v>
      </c>
      <c r="DC162" s="140">
        <f t="shared" si="321"/>
        <v>0.42</v>
      </c>
      <c r="DD162" s="121" t="str">
        <f>IF($C$50="NEIN","NEIN",IF(DF162&lt;DE162,"JA","NEIN"))</f>
        <v>NEIN</v>
      </c>
      <c r="DE162" s="121">
        <f>DB162*$C$46</f>
        <v>35960.186507431572</v>
      </c>
      <c r="DF162" s="121">
        <f t="shared" si="322"/>
        <v>47996.084533161178</v>
      </c>
      <c r="DG162" s="201">
        <f>IF($C$50="NEIN",DE162,IF(DD162="NEIN",DE162,DF162))</f>
        <v>35960.186507431572</v>
      </c>
      <c r="DH162" s="97"/>
      <c r="DI162" s="125"/>
      <c r="DN162" s="75"/>
      <c r="DO162" s="28">
        <f t="shared" si="247"/>
        <v>2103</v>
      </c>
      <c r="DP162" s="17">
        <f>IF($C$13+$C$10&gt;=DO162,-#REF!,IF(DO162=$C$13+$C$10+1,$EK$93,0))</f>
        <v>0</v>
      </c>
      <c r="DQ162" s="17" t="e">
        <f t="shared" si="248"/>
        <v>#REF!</v>
      </c>
      <c r="DR162" s="17" t="e">
        <f t="shared" si="249"/>
        <v>#REF!</v>
      </c>
      <c r="DS162" s="17" t="e">
        <f>#REF!+EB161</f>
        <v>#REF!</v>
      </c>
      <c r="DT162" s="17" t="e">
        <f t="shared" si="191"/>
        <v>#REF!</v>
      </c>
      <c r="DU162" s="17" t="e">
        <f t="shared" si="250"/>
        <v>#REF!</v>
      </c>
      <c r="DV162" s="33" t="e">
        <f t="shared" si="192"/>
        <v>#REF!</v>
      </c>
      <c r="DW162" s="32" t="e">
        <f t="shared" si="193"/>
        <v>#REF!</v>
      </c>
      <c r="DX162" s="17" t="e">
        <f t="shared" si="251"/>
        <v>#REF!</v>
      </c>
      <c r="DY162" s="17" t="e">
        <f t="shared" si="252"/>
        <v>#REF!</v>
      </c>
      <c r="DZ162" s="17" t="e">
        <f t="shared" si="194"/>
        <v>#REF!</v>
      </c>
      <c r="EA162" s="17" t="e">
        <f t="shared" si="224"/>
        <v>#REF!</v>
      </c>
      <c r="EB162" s="15" t="e">
        <f t="shared" si="225"/>
        <v>#REF!</v>
      </c>
      <c r="EC162" s="15">
        <f>IF(DP162=0,EC161,IF(DO162&lt;=$EK$88+$C$10,ABS(DP162)+EC161,EC161))</f>
        <v>430891.77838569693</v>
      </c>
      <c r="ED162" s="15" t="e">
        <f t="shared" si="253"/>
        <v>#REF!</v>
      </c>
      <c r="EE162" s="16" t="e">
        <f t="shared" si="254"/>
        <v>#REF!</v>
      </c>
      <c r="EF162" s="15" t="e">
        <f>IF(DS162&lt;=0,0,DS162-#REF!)</f>
        <v>#REF!</v>
      </c>
      <c r="EG162" s="15" t="e">
        <f t="shared" si="255"/>
        <v>#REF!</v>
      </c>
      <c r="EH162" s="16"/>
      <c r="EI162" s="16"/>
      <c r="EJ162"/>
      <c r="EK162"/>
      <c r="EL162"/>
      <c r="EM162" s="28">
        <f t="shared" si="256"/>
        <v>2103</v>
      </c>
      <c r="EN162" s="29">
        <f>IF($C$13+$C$10&gt;=EM162,-(#REF!),IF(EM162=$C$13+$C$10+1,$FB$93,0))</f>
        <v>0</v>
      </c>
      <c r="EO162" s="30" t="e">
        <f t="shared" si="257"/>
        <v>#REF!</v>
      </c>
      <c r="EP162" s="30" t="e">
        <f t="shared" si="258"/>
        <v>#REF!</v>
      </c>
      <c r="EQ162" s="30" t="e">
        <f>#REF!-EV161</f>
        <v>#REF!</v>
      </c>
      <c r="ER162" s="25" t="e">
        <f t="shared" si="196"/>
        <v>#REF!</v>
      </c>
      <c r="ES162" s="30" t="e">
        <f t="shared" si="259"/>
        <v>#REF!</v>
      </c>
      <c r="ET162" s="26" t="e">
        <f t="shared" si="197"/>
        <v>#REF!</v>
      </c>
      <c r="EU162" s="30" t="e">
        <f t="shared" si="260"/>
        <v>#REF!</v>
      </c>
      <c r="EV162" s="25" t="e">
        <f t="shared" si="198"/>
        <v>#REF!</v>
      </c>
      <c r="EW162" s="31" t="e">
        <f t="shared" si="261"/>
        <v>#REF!</v>
      </c>
      <c r="EX162" s="27">
        <f>IF(EM162=0,EX161,IF(EM162&lt;=$FB$88+$C$10,ABS(EN162)+EX161,EX161))</f>
        <v>430891.77838569693</v>
      </c>
      <c r="EY162" s="15"/>
      <c r="EZ162"/>
      <c r="FA162"/>
      <c r="FB162"/>
      <c r="FJ162" s="28">
        <f t="shared" si="262"/>
        <v>2103</v>
      </c>
      <c r="FK162" s="65">
        <f>IF($C$13+$C$10&gt;=FJ162,-#REF!,IF(FJ162=$C$13+$C$10+1,$EK$93,0))</f>
        <v>0</v>
      </c>
      <c r="FL162" s="65">
        <f t="shared" si="263"/>
        <v>74118.803999999975</v>
      </c>
      <c r="FM162" s="65">
        <f t="shared" si="264"/>
        <v>3461435.4506329447</v>
      </c>
      <c r="FN162" s="65">
        <f>IF(FY161&gt;=$GF$97,0,#REF!+FW161)</f>
        <v>0</v>
      </c>
      <c r="FO162" s="65">
        <f t="shared" si="199"/>
        <v>3703735.9321772512</v>
      </c>
      <c r="FP162" s="65">
        <f t="shared" si="265"/>
        <v>242300.4815443065</v>
      </c>
      <c r="FQ162" s="59">
        <f t="shared" si="200"/>
        <v>1696.1033708101429</v>
      </c>
      <c r="FR162" s="60">
        <f t="shared" si="201"/>
        <v>74074.718643545028</v>
      </c>
      <c r="FS162" s="65">
        <f t="shared" si="266"/>
        <v>0</v>
      </c>
      <c r="FT162" s="65">
        <f t="shared" si="267"/>
        <v>0</v>
      </c>
      <c r="FU162" s="65">
        <f t="shared" si="202"/>
        <v>0</v>
      </c>
      <c r="FV162" s="65">
        <f t="shared" si="228"/>
        <v>13464.781179564499</v>
      </c>
      <c r="FW162" s="61">
        <f t="shared" si="229"/>
        <v>60609.937463980532</v>
      </c>
      <c r="FX162" s="61">
        <f>IF(AND(FJ162&lt;=$GF$88+$C$10,FV161&lt;=0,FN162&gt;0),(FJ162-$C$10+1)*#REF!+$GF$80,FX161)</f>
        <v>73074.599999999977</v>
      </c>
      <c r="FY162" s="62">
        <f t="shared" si="230"/>
        <v>63.73446073718042</v>
      </c>
      <c r="FZ162" s="63">
        <f t="shared" si="268"/>
        <v>3703735.9321772512</v>
      </c>
      <c r="GA162" s="64">
        <f t="shared" si="269"/>
        <v>70641.539808835601</v>
      </c>
      <c r="GB162" s="64">
        <f t="shared" si="270"/>
        <v>1491534.4904926936</v>
      </c>
      <c r="GC162" s="66">
        <f>IF(FN162&lt;=0,0,FN162-#REF!)</f>
        <v>0</v>
      </c>
      <c r="GD162" s="64">
        <f t="shared" si="271"/>
        <v>1580.6039999999994</v>
      </c>
      <c r="GE162"/>
      <c r="GF162"/>
      <c r="GI162" s="28">
        <f t="shared" si="272"/>
        <v>2103</v>
      </c>
      <c r="GJ162" s="9">
        <f>IF($GX$88+$C$10&gt;=GI162,-#REF!,IF(GI162=$GX$88+$C$10+1,$FB$93,0))</f>
        <v>0</v>
      </c>
      <c r="GK162" s="5" t="e">
        <f t="shared" si="273"/>
        <v>#REF!</v>
      </c>
      <c r="GL162" s="5" t="e">
        <f t="shared" si="274"/>
        <v>#REF!</v>
      </c>
      <c r="GM162" s="35" t="e">
        <f>IF(FX161=$GF$94,#REF!-GR161+FW161,0)</f>
        <v>#REF!</v>
      </c>
      <c r="GN162" s="4" t="e">
        <f t="shared" si="204"/>
        <v>#REF!</v>
      </c>
      <c r="GO162" s="5" t="e">
        <f t="shared" si="275"/>
        <v>#REF!</v>
      </c>
      <c r="GP162" s="5" t="e">
        <f t="shared" si="205"/>
        <v>#REF!</v>
      </c>
      <c r="GQ162" s="5" t="e">
        <f t="shared" si="276"/>
        <v>#REF!</v>
      </c>
      <c r="GR162" s="4" t="e">
        <f t="shared" si="206"/>
        <v>#REF!</v>
      </c>
      <c r="GS162" s="7" t="e">
        <f t="shared" si="277"/>
        <v>#REF!</v>
      </c>
      <c r="GT162" s="107" t="e">
        <f>IF($DG$62=0,EX162,IF(GI162-$C$10+1&lt;=$GF$98,0,#REF!-FX162))</f>
        <v>#REF!</v>
      </c>
      <c r="GU162"/>
      <c r="GV162"/>
      <c r="GW162"/>
      <c r="GX162"/>
    </row>
    <row r="163" spans="2:206" ht="16.149999999999999" thickBot="1" x14ac:dyDescent="0.55000000000000004">
      <c r="B163" s="333"/>
      <c r="C163" s="75"/>
      <c r="D163" s="75"/>
      <c r="F163" s="75"/>
      <c r="G163" s="75"/>
      <c r="H163" s="75"/>
      <c r="I163" s="75"/>
      <c r="J163" s="75"/>
      <c r="K163" s="75"/>
      <c r="L163" s="75"/>
      <c r="M163" s="75"/>
      <c r="O163" s="75"/>
      <c r="P163" s="75"/>
      <c r="Q163" s="75"/>
      <c r="R163" s="75"/>
      <c r="S163" s="290"/>
      <c r="T163" s="291"/>
      <c r="U163" s="291"/>
      <c r="V163" s="292"/>
      <c r="W163" s="292"/>
      <c r="AB163" s="117">
        <f t="shared" si="207"/>
        <v>111</v>
      </c>
      <c r="AC163" s="117">
        <f t="shared" si="208"/>
        <v>2104</v>
      </c>
      <c r="AD163" s="299">
        <f>IF($C$20="NEIN",$C$21,IF($C$22="JA",'HISTORISCHE RENDITEN'!E87,'HISTORISCHE RENDITEN'!D87))</f>
        <v>0.26979999999999998</v>
      </c>
      <c r="AE163" s="129">
        <f t="shared" si="278"/>
        <v>111</v>
      </c>
      <c r="AF163" s="120">
        <f t="shared" si="280"/>
        <v>2104</v>
      </c>
      <c r="AG163" s="122">
        <f t="shared" si="281"/>
        <v>0</v>
      </c>
      <c r="AH163" s="124">
        <f t="shared" si="282"/>
        <v>430891.77838569693</v>
      </c>
      <c r="AI163" s="296">
        <f t="shared" si="283"/>
        <v>-1398601.1887990534</v>
      </c>
      <c r="AJ163" s="123">
        <f t="shared" si="233"/>
        <v>0</v>
      </c>
      <c r="AK163" s="124">
        <f t="shared" si="284"/>
        <v>-1775943.7895370382</v>
      </c>
      <c r="AL163" s="122">
        <f t="shared" si="285"/>
        <v>-377342.60073798476</v>
      </c>
      <c r="AM163" s="122" t="b">
        <f>IF($C$25="Ausschütter",0,IF(AL163&gt;=0,(AI163+AJ163)*$C$48*0.7))</f>
        <v>0</v>
      </c>
      <c r="AN163" s="122">
        <f t="shared" si="177"/>
        <v>0</v>
      </c>
      <c r="AO163" s="122">
        <f t="shared" si="212"/>
        <v>0</v>
      </c>
      <c r="AP163" s="122">
        <f t="shared" si="286"/>
        <v>21543.465221269184</v>
      </c>
      <c r="AQ163" s="122">
        <f>IF($C$25="AUSSCHÜTTER",0,IF(AO163*$C$46*$C$49&lt;=$C$47,0,AO163*$C$46*$C$49))</f>
        <v>0</v>
      </c>
      <c r="AR163" s="122">
        <f>IF(AO162*$C$49&gt;$C$47,(AN163)*$C$49*$C$46,IF((AO162+AN163)*$C$49&gt;$C$47,((AO162+AN163)*$C$49-$C$47)*$C$46,0))</f>
        <v>0</v>
      </c>
      <c r="AS163" s="122">
        <f t="shared" si="287"/>
        <v>0</v>
      </c>
      <c r="AT163" s="122">
        <f t="shared" si="288"/>
        <v>430891.77838569693</v>
      </c>
      <c r="AU163" s="122">
        <f t="shared" si="289"/>
        <v>0</v>
      </c>
      <c r="AV163" s="122">
        <f t="shared" si="290"/>
        <v>-1775943.7895370382</v>
      </c>
      <c r="AW163" s="122">
        <f t="shared" si="214"/>
        <v>0</v>
      </c>
      <c r="AX163" s="130">
        <f t="shared" si="215"/>
        <v>0</v>
      </c>
      <c r="AY163" s="82">
        <f>IF(AF163&lt;$C$11,$C$15*(1+$C$19)^(AF163-$C$10),0)</f>
        <v>0</v>
      </c>
      <c r="AZ163" s="82">
        <f>$C$14*(1+$C$37)^(AF163-$C$10)</f>
        <v>139750.4878487862</v>
      </c>
      <c r="BA163" s="165">
        <f>IF(AF163&lt;$C$11,0,MAX($C$38*AI163,AZ163))</f>
        <v>139750.4878487862</v>
      </c>
      <c r="BB163" s="82">
        <f>IF(AF163&lt;$C$11,0,MAX($C$38*AI163,AZ163))</f>
        <v>139750.4878487862</v>
      </c>
      <c r="BC163" s="136">
        <f>IF($C$39="JA",CT163,DG163)</f>
        <v>36859.191170117359</v>
      </c>
      <c r="BD163" s="82">
        <f t="shared" si="178"/>
        <v>0</v>
      </c>
      <c r="BE163" s="82">
        <f>IF(AF163&lt;($C$8+$C$30),0,$C$29*12*(1-$C$31))</f>
        <v>0</v>
      </c>
      <c r="BF163" s="82">
        <f>IF(AF163&lt;($C$8+$C$34),0,$C$33*12*(1-$C$35))</f>
        <v>0</v>
      </c>
      <c r="BG163" s="82">
        <f>IF(AF163&lt;$C$11,0,IF(AI163&lt;0,$C$42*(1+$C$44)^(AF163-$C$10),IF(((AL163+BE163+BF163)*$C$41)&lt;$C$42*(1+$C$44)^(AF163-$C$10),$C$42*(1+$C$44)^(AF163-$C$10),IF(((AL163+BE163+BF163)*$C$41)&lt;$C$43*(1+$C$44)^(AF163-$C$10),(AL163+BE163+BF163)*$C$41,IF(((AL163+BE163+BF163+BB163)*$C$41)&lt;$C$43*(1+$C$44)^(AF163-$C$10),((AL163+BE163+BF163+BB163)*$C$41),$C$43*(1+$C$44)^(AF163-$C$10))))))</f>
        <v>8258.3397978539106</v>
      </c>
      <c r="BH163" s="82">
        <f t="shared" si="238"/>
        <v>184868.01881675748</v>
      </c>
      <c r="BI163" s="242">
        <f t="shared" si="291"/>
        <v>-1775943.7895370382</v>
      </c>
      <c r="BJ163" s="217">
        <f t="shared" si="292"/>
        <v>-1960811.8083537957</v>
      </c>
      <c r="BK163" s="118"/>
      <c r="BL163" s="219">
        <f t="shared" si="293"/>
        <v>67</v>
      </c>
      <c r="BM163" s="220">
        <f t="shared" si="294"/>
        <v>84</v>
      </c>
      <c r="BN163" s="220">
        <f t="shared" si="295"/>
        <v>0</v>
      </c>
      <c r="BO163" s="221">
        <f t="shared" si="296"/>
        <v>0</v>
      </c>
      <c r="BP163" s="221">
        <f t="shared" si="297"/>
        <v>0</v>
      </c>
      <c r="BQ163" s="222">
        <f t="shared" si="298"/>
        <v>0</v>
      </c>
      <c r="BR163" s="223">
        <f>IF(BM163&lt;$C$11-$C$10+1,0,IF(BL163&lt;=$C$13,VLOOKUP(BL163,$BN$80:$BQ$156,2,FALSE)-BS163,0))</f>
        <v>0</v>
      </c>
      <c r="BS163" s="223">
        <f>IF(BM163&lt;$C$11-$C$10+1,0,IF(BL163&lt;=$C$13,VLOOKUP(BL163,$BN$80:$BQ$156,3,FALSE),0))</f>
        <v>0</v>
      </c>
      <c r="BT163" s="222">
        <f>IF(BM163&lt;$C$11-$C$10+1,0,IF(BL163&lt;=$C$13,VLOOKUP(BL163,$BN$80:$BQ$156,4,FALSE),0))</f>
        <v>0</v>
      </c>
      <c r="BU163" s="223">
        <f t="shared" si="299"/>
        <v>0</v>
      </c>
      <c r="BV163" s="223">
        <f t="shared" si="300"/>
        <v>0</v>
      </c>
      <c r="BW163" s="223">
        <f t="shared" si="301"/>
        <v>0</v>
      </c>
      <c r="BX163" s="223">
        <f>IF(AND(BS163&lt;=0,BN163=0),MIN((MAX($BZ$80:$BZ$156)-SUM($BX$80:BX162)),CA163),IF(BS163&lt;CA163,BS163,CA163))</f>
        <v>0</v>
      </c>
      <c r="BY163" s="222">
        <f>IF(BN163&gt;0,0,IF(AND(BN163=0,BT163&lt;=0),100%,((BW162*(AVERAGE($BT$80:BT162))+(BR163*BT163))/(BR163+BW162+BS163+BV162))))</f>
        <v>1</v>
      </c>
      <c r="BZ163" s="139">
        <f t="shared" si="302"/>
        <v>430891.77838569693</v>
      </c>
      <c r="CA163" s="122">
        <f t="shared" si="303"/>
        <v>139750.4878487862</v>
      </c>
      <c r="CB163" s="181">
        <f t="shared" si="304"/>
        <v>1</v>
      </c>
      <c r="CC163" s="122">
        <f t="shared" si="305"/>
        <v>4822012.551222872</v>
      </c>
      <c r="CD163" s="182">
        <f t="shared" si="306"/>
        <v>0</v>
      </c>
      <c r="CE163" s="122">
        <f t="shared" si="307"/>
        <v>430891.77838569693</v>
      </c>
      <c r="CF163" s="122">
        <f t="shared" si="308"/>
        <v>0</v>
      </c>
      <c r="CG163" s="122" t="str">
        <f t="shared" si="309"/>
        <v/>
      </c>
      <c r="CH163" s="140">
        <f t="shared" si="310"/>
        <v>1</v>
      </c>
      <c r="CI163" s="142">
        <f t="shared" si="311"/>
        <v>9984</v>
      </c>
      <c r="CJ163" s="134">
        <f>CI163*$C$57</f>
        <v>0</v>
      </c>
      <c r="CK163" s="142">
        <f t="shared" si="312"/>
        <v>14926</v>
      </c>
      <c r="CL163" s="134">
        <f>CK163*$C$57</f>
        <v>0</v>
      </c>
      <c r="CM163" s="142">
        <f t="shared" si="313"/>
        <v>58596</v>
      </c>
      <c r="CN163" s="134">
        <f>CM163*$C$57</f>
        <v>0</v>
      </c>
      <c r="CO163" s="132">
        <f t="shared" si="314"/>
        <v>139750.4878487862</v>
      </c>
      <c r="CP163" s="140">
        <f t="shared" si="315"/>
        <v>0.42</v>
      </c>
      <c r="CQ163" s="121" t="str">
        <f>IF($C$50="NEIN","NEIN",IF(CS163&lt;CR163,"JA","NEIN"))</f>
        <v>NEIN</v>
      </c>
      <c r="CR163" s="121">
        <f>CO163*$C$46</f>
        <v>36859.191170117359</v>
      </c>
      <c r="CS163" s="121">
        <f t="shared" si="316"/>
        <v>49427.6748964902</v>
      </c>
      <c r="CT163" s="201">
        <f>IF($C$50="NEIN",CR163,IF(CQ163="NEIN",CR163,CS163))</f>
        <v>36859.191170117359</v>
      </c>
      <c r="CU163" s="149"/>
      <c r="CV163" s="202">
        <f t="shared" si="317"/>
        <v>9984</v>
      </c>
      <c r="CW163" s="134">
        <f>CV163*$C$57</f>
        <v>0</v>
      </c>
      <c r="CX163" s="142">
        <f t="shared" si="318"/>
        <v>14926</v>
      </c>
      <c r="CY163" s="134">
        <f>CX163*$C$57</f>
        <v>0</v>
      </c>
      <c r="CZ163" s="142">
        <f t="shared" si="319"/>
        <v>58596</v>
      </c>
      <c r="DA163" s="143">
        <f>CZ163*$C$57</f>
        <v>0</v>
      </c>
      <c r="DB163" s="165">
        <f t="shared" si="320"/>
        <v>139750.4878487862</v>
      </c>
      <c r="DC163" s="140">
        <f t="shared" si="321"/>
        <v>0.42</v>
      </c>
      <c r="DD163" s="121" t="str">
        <f>IF($C$50="NEIN","NEIN",IF(DF163&lt;DE163,"JA","NEIN"))</f>
        <v>NEIN</v>
      </c>
      <c r="DE163" s="121">
        <f>DB163*$C$46</f>
        <v>36859.191170117359</v>
      </c>
      <c r="DF163" s="121">
        <f t="shared" si="322"/>
        <v>49427.6748964902</v>
      </c>
      <c r="DG163" s="201">
        <f>IF($C$50="NEIN",DE163,IF(DD163="NEIN",DE163,DF163))</f>
        <v>36859.191170117359</v>
      </c>
      <c r="DH163" s="97"/>
      <c r="DI163" s="125"/>
      <c r="DN163" s="75"/>
      <c r="DO163" s="28">
        <f t="shared" si="247"/>
        <v>2104</v>
      </c>
      <c r="DP163" s="17">
        <f>IF($C$13+$C$10&gt;=DO163,-#REF!,IF(DO163=$C$13+$C$10+1,$EK$93,0))</f>
        <v>0</v>
      </c>
      <c r="DQ163" s="17" t="e">
        <f t="shared" si="248"/>
        <v>#REF!</v>
      </c>
      <c r="DR163" s="17" t="e">
        <f t="shared" si="249"/>
        <v>#REF!</v>
      </c>
      <c r="DS163" s="17" t="e">
        <f>#REF!+EB162</f>
        <v>#REF!</v>
      </c>
      <c r="DT163" s="17" t="e">
        <f t="shared" si="191"/>
        <v>#REF!</v>
      </c>
      <c r="DU163" s="17" t="e">
        <f t="shared" si="250"/>
        <v>#REF!</v>
      </c>
      <c r="DV163" s="33" t="e">
        <f t="shared" si="192"/>
        <v>#REF!</v>
      </c>
      <c r="DW163" s="32" t="e">
        <f t="shared" si="193"/>
        <v>#REF!</v>
      </c>
      <c r="DX163" s="17" t="e">
        <f t="shared" si="251"/>
        <v>#REF!</v>
      </c>
      <c r="DY163" s="17" t="e">
        <f t="shared" si="252"/>
        <v>#REF!</v>
      </c>
      <c r="DZ163" s="17" t="e">
        <f t="shared" si="194"/>
        <v>#REF!</v>
      </c>
      <c r="EA163" s="17" t="e">
        <f t="shared" si="224"/>
        <v>#REF!</v>
      </c>
      <c r="EB163" s="15" t="e">
        <f t="shared" si="225"/>
        <v>#REF!</v>
      </c>
      <c r="EC163" s="15">
        <f>IF(DP163=0,EC162,IF(DO163&lt;=$EK$88+$C$10,ABS(DP163)+EC162,EC162))</f>
        <v>430891.77838569693</v>
      </c>
      <c r="ED163" s="15" t="e">
        <f t="shared" si="253"/>
        <v>#REF!</v>
      </c>
      <c r="EE163" s="16" t="e">
        <f t="shared" si="254"/>
        <v>#REF!</v>
      </c>
      <c r="EF163" s="15" t="e">
        <f>IF(DS163&lt;=0,0,DS163-#REF!)</f>
        <v>#REF!</v>
      </c>
      <c r="EG163" s="15" t="e">
        <f t="shared" si="255"/>
        <v>#REF!</v>
      </c>
      <c r="EH163" s="16"/>
      <c r="EI163" s="16"/>
      <c r="EJ163"/>
      <c r="EK163"/>
      <c r="EL163"/>
      <c r="EM163" s="28">
        <f t="shared" si="256"/>
        <v>2104</v>
      </c>
      <c r="EN163" s="29">
        <f>IF($C$13+$C$10&gt;=EM163,-(#REF!),IF(EM163=$C$13+$C$10+1,$FB$93,0))</f>
        <v>0</v>
      </c>
      <c r="EO163" s="30" t="e">
        <f t="shared" si="257"/>
        <v>#REF!</v>
      </c>
      <c r="EP163" s="30" t="e">
        <f t="shared" si="258"/>
        <v>#REF!</v>
      </c>
      <c r="EQ163" s="30" t="e">
        <f>#REF!-EV162</f>
        <v>#REF!</v>
      </c>
      <c r="ER163" s="25" t="e">
        <f t="shared" si="196"/>
        <v>#REF!</v>
      </c>
      <c r="ES163" s="30" t="e">
        <f t="shared" si="259"/>
        <v>#REF!</v>
      </c>
      <c r="ET163" s="26" t="e">
        <f t="shared" si="197"/>
        <v>#REF!</v>
      </c>
      <c r="EU163" s="30" t="e">
        <f t="shared" si="260"/>
        <v>#REF!</v>
      </c>
      <c r="EV163" s="25" t="e">
        <f t="shared" si="198"/>
        <v>#REF!</v>
      </c>
      <c r="EW163" s="31" t="e">
        <f t="shared" si="261"/>
        <v>#REF!</v>
      </c>
      <c r="EX163" s="27">
        <f>IF(EM163=0,EX162,IF(EM163&lt;=$FB$88+$C$10,ABS(EN163)+EX162,EX162))</f>
        <v>430891.77838569693</v>
      </c>
      <c r="EY163" s="15"/>
      <c r="EZ163"/>
      <c r="FA163"/>
      <c r="FB163"/>
      <c r="FJ163" s="28">
        <f t="shared" si="262"/>
        <v>2104</v>
      </c>
      <c r="FK163" s="65">
        <f>IF($C$13+$C$10&gt;=FJ163,-#REF!,IF(FJ163=$C$13+$C$10+1,$EK$93,0))</f>
        <v>0</v>
      </c>
      <c r="FL163" s="65">
        <f t="shared" si="263"/>
        <v>74118.803999999975</v>
      </c>
      <c r="FM163" s="65">
        <f t="shared" si="264"/>
        <v>3629661.213533706</v>
      </c>
      <c r="FN163" s="65">
        <f>IF(FY162&gt;=$GF$97,0,#REF!+FW162)</f>
        <v>0</v>
      </c>
      <c r="FO163" s="65">
        <f t="shared" si="199"/>
        <v>3883737.4984810655</v>
      </c>
      <c r="FP163" s="65">
        <f t="shared" si="265"/>
        <v>254076.28494735947</v>
      </c>
      <c r="FQ163" s="59">
        <f t="shared" si="200"/>
        <v>1778.5339946315157</v>
      </c>
      <c r="FR163" s="60">
        <f t="shared" si="201"/>
        <v>77674.749969621305</v>
      </c>
      <c r="FS163" s="65">
        <f t="shared" si="266"/>
        <v>0</v>
      </c>
      <c r="FT163" s="65">
        <f t="shared" si="267"/>
        <v>0</v>
      </c>
      <c r="FU163" s="65">
        <f t="shared" si="202"/>
        <v>0</v>
      </c>
      <c r="FV163" s="65">
        <f t="shared" si="228"/>
        <v>14129.436963141332</v>
      </c>
      <c r="FW163" s="61">
        <f t="shared" si="229"/>
        <v>63545.313006479977</v>
      </c>
      <c r="FX163" s="61">
        <f>IF(AND(FJ163&lt;=$GF$88+$C$10,FV162&lt;=0,FN163&gt;0),(FJ163-$C$10+1)*#REF!+$GF$80,FX162)</f>
        <v>73074.599999999977</v>
      </c>
      <c r="FY163" s="62">
        <f t="shared" si="230"/>
        <v>66.880555529007381</v>
      </c>
      <c r="FZ163" s="63">
        <f t="shared" si="268"/>
        <v>3883737.4984810655</v>
      </c>
      <c r="GA163" s="64">
        <f t="shared" si="269"/>
        <v>74074.718643545028</v>
      </c>
      <c r="GB163" s="64">
        <f t="shared" si="270"/>
        <v>1565609.2091362386</v>
      </c>
      <c r="GC163" s="66">
        <f>IF(FN163&lt;=0,0,FN163-#REF!)</f>
        <v>0</v>
      </c>
      <c r="GD163" s="64">
        <f t="shared" si="271"/>
        <v>1580.6039999999994</v>
      </c>
      <c r="GE163"/>
      <c r="GF163"/>
      <c r="GI163" s="28">
        <f t="shared" si="272"/>
        <v>2104</v>
      </c>
      <c r="GJ163" s="9">
        <f>IF($GX$88+$C$10&gt;=GI163,-#REF!,IF(GI163=$GX$88+$C$10+1,$FB$93,0))</f>
        <v>0</v>
      </c>
      <c r="GK163" s="5" t="e">
        <f t="shared" si="273"/>
        <v>#REF!</v>
      </c>
      <c r="GL163" s="5" t="e">
        <f t="shared" si="274"/>
        <v>#REF!</v>
      </c>
      <c r="GM163" s="35" t="e">
        <f>IF(FX162=$GF$94,#REF!-GR162+FW162,0)</f>
        <v>#REF!</v>
      </c>
      <c r="GN163" s="4" t="e">
        <f t="shared" si="204"/>
        <v>#REF!</v>
      </c>
      <c r="GO163" s="5" t="e">
        <f t="shared" si="275"/>
        <v>#REF!</v>
      </c>
      <c r="GP163" s="5" t="e">
        <f t="shared" si="205"/>
        <v>#REF!</v>
      </c>
      <c r="GQ163" s="5" t="e">
        <f t="shared" si="276"/>
        <v>#REF!</v>
      </c>
      <c r="GR163" s="4" t="e">
        <f t="shared" si="206"/>
        <v>#REF!</v>
      </c>
      <c r="GS163" s="7" t="e">
        <f t="shared" si="277"/>
        <v>#REF!</v>
      </c>
      <c r="GT163" s="107" t="e">
        <f>IF($DG$62=0,EX163,IF(GI163-$C$10+1&lt;=$GF$98,0,#REF!-FX163))</f>
        <v>#REF!</v>
      </c>
      <c r="GU163"/>
      <c r="GV163"/>
      <c r="GW163"/>
      <c r="GX163"/>
    </row>
    <row r="164" spans="2:206" ht="16.149999999999999" thickBot="1" x14ac:dyDescent="0.55000000000000004">
      <c r="B164" s="333"/>
      <c r="C164" s="75"/>
      <c r="D164" s="75"/>
      <c r="F164" s="75"/>
      <c r="G164" s="75"/>
      <c r="H164" s="75"/>
      <c r="I164" s="75"/>
      <c r="J164" s="75"/>
      <c r="K164" s="75"/>
      <c r="L164" s="75"/>
      <c r="M164" s="75"/>
      <c r="O164" s="75"/>
      <c r="P164" s="75"/>
      <c r="Q164" s="75"/>
      <c r="R164" s="75"/>
      <c r="S164" s="290"/>
      <c r="T164" s="291"/>
      <c r="U164" s="291"/>
      <c r="V164" s="292"/>
      <c r="W164" s="292"/>
      <c r="AB164" s="117">
        <f t="shared" si="207"/>
        <v>112</v>
      </c>
      <c r="AC164" s="117">
        <f t="shared" si="208"/>
        <v>2105</v>
      </c>
      <c r="AD164" s="299">
        <f>IF($C$20="NEIN",$C$21,IF($C$22="JA",'HISTORISCHE RENDITEN'!E88,'HISTORISCHE RENDITEN'!D88))</f>
        <v>9.5500000000000002E-2</v>
      </c>
      <c r="AE164" s="129">
        <f t="shared" si="278"/>
        <v>112</v>
      </c>
      <c r="AF164" s="120">
        <f t="shared" si="280"/>
        <v>2105</v>
      </c>
      <c r="AG164" s="122">
        <f t="shared" si="281"/>
        <v>0</v>
      </c>
      <c r="AH164" s="124">
        <f t="shared" si="282"/>
        <v>430891.77838569693</v>
      </c>
      <c r="AI164" s="296">
        <f t="shared" si="283"/>
        <v>-1960811.8083537957</v>
      </c>
      <c r="AJ164" s="123">
        <f t="shared" si="233"/>
        <v>0</v>
      </c>
      <c r="AK164" s="124">
        <f t="shared" si="284"/>
        <v>-2148069.3360515828</v>
      </c>
      <c r="AL164" s="122">
        <f t="shared" si="285"/>
        <v>-187257.52769778715</v>
      </c>
      <c r="AM164" s="122" t="b">
        <f>IF($C$25="Ausschütter",0,IF(AL164&gt;=0,(AI164+AJ164)*$C$48*0.7))</f>
        <v>0</v>
      </c>
      <c r="AN164" s="122">
        <f t="shared" si="177"/>
        <v>0</v>
      </c>
      <c r="AO164" s="122">
        <f t="shared" si="212"/>
        <v>0</v>
      </c>
      <c r="AP164" s="122">
        <f t="shared" si="286"/>
        <v>21543.465221269184</v>
      </c>
      <c r="AQ164" s="122">
        <f>IF($C$25="AUSSCHÜTTER",0,IF(AO164*$C$46*$C$49&lt;=$C$47,0,AO164*$C$46*$C$49))</f>
        <v>0</v>
      </c>
      <c r="AR164" s="122">
        <f>IF(AO163*$C$49&gt;$C$47,(AN164)*$C$49*$C$46,IF((AO163+AN164)*$C$49&gt;$C$47,((AO163+AN164)*$C$49-$C$47)*$C$46,0))</f>
        <v>0</v>
      </c>
      <c r="AS164" s="122">
        <f t="shared" si="287"/>
        <v>0</v>
      </c>
      <c r="AT164" s="122">
        <f t="shared" si="288"/>
        <v>430891.77838569693</v>
      </c>
      <c r="AU164" s="122">
        <f t="shared" si="289"/>
        <v>0</v>
      </c>
      <c r="AV164" s="122">
        <f t="shared" si="290"/>
        <v>-2148069.3360515828</v>
      </c>
      <c r="AW164" s="122">
        <f t="shared" si="214"/>
        <v>0</v>
      </c>
      <c r="AX164" s="130">
        <f t="shared" si="215"/>
        <v>0</v>
      </c>
      <c r="AY164" s="82">
        <f>IF(AF164&lt;$C$11,$C$15*(1+$C$19)^(AF164-$C$10),0)</f>
        <v>0</v>
      </c>
      <c r="AZ164" s="82">
        <f>$C$14*(1+$C$37)^(AF164-$C$10)</f>
        <v>143244.25004500584</v>
      </c>
      <c r="BA164" s="165">
        <f>IF(AF164&lt;$C$11,0,MAX($C$38*AI164,AZ164))</f>
        <v>143244.25004500584</v>
      </c>
      <c r="BB164" s="82">
        <f>IF(AF164&lt;$C$11,0,MAX($C$38*AI164,AZ164))</f>
        <v>143244.25004500584</v>
      </c>
      <c r="BC164" s="136">
        <f>IF($C$39="JA",CT164,DG164)</f>
        <v>37780.670949370287</v>
      </c>
      <c r="BD164" s="82">
        <f t="shared" si="178"/>
        <v>0</v>
      </c>
      <c r="BE164" s="82">
        <f>IF(AF164&lt;($C$8+$C$30),0,$C$29*12*(1-$C$31))</f>
        <v>0</v>
      </c>
      <c r="BF164" s="82">
        <f>IF(AF164&lt;($C$8+$C$34),0,$C$33*12*(1-$C$35))</f>
        <v>0</v>
      </c>
      <c r="BG164" s="82">
        <f>IF(AF164&lt;$C$11,0,IF(AI164&lt;0,$C$42*(1+$C$44)^(AF164-$C$10),IF(((AL164+BE164+BF164)*$C$41)&lt;$C$42*(1+$C$44)^(AF164-$C$10),$C$42*(1+$C$44)^(AF164-$C$10),IF(((AL164+BE164+BF164)*$C$41)&lt;$C$43*(1+$C$44)^(AF164-$C$10),(AL164+BE164+BF164)*$C$41,IF(((AL164+BE164+BF164+BB164)*$C$41)&lt;$C$43*(1+$C$44)^(AF164-$C$10),((AL164+BE164+BF164+BB164)*$C$41),$C$43*(1+$C$44)^(AF164-$C$10))))))</f>
        <v>8382.2148948217164</v>
      </c>
      <c r="BH164" s="82">
        <f t="shared" si="238"/>
        <v>189407.13588919785</v>
      </c>
      <c r="BI164" s="242">
        <f t="shared" si="291"/>
        <v>-2148069.3360515828</v>
      </c>
      <c r="BJ164" s="217">
        <f t="shared" si="292"/>
        <v>-2337476.4719407805</v>
      </c>
      <c r="BK164" s="118"/>
      <c r="BL164" s="219">
        <f t="shared" si="293"/>
        <v>68</v>
      </c>
      <c r="BM164" s="220">
        <f t="shared" si="294"/>
        <v>85</v>
      </c>
      <c r="BN164" s="220">
        <f t="shared" si="295"/>
        <v>0</v>
      </c>
      <c r="BO164" s="221">
        <f t="shared" si="296"/>
        <v>0</v>
      </c>
      <c r="BP164" s="221">
        <f t="shared" si="297"/>
        <v>0</v>
      </c>
      <c r="BQ164" s="222">
        <f t="shared" si="298"/>
        <v>0</v>
      </c>
      <c r="BR164" s="223">
        <f>IF(BM164&lt;$C$11-$C$10+1,0,IF(BL164&lt;=$C$13,VLOOKUP(BL164,$BN$80:$BQ$156,2,FALSE)-BS164,0))</f>
        <v>0</v>
      </c>
      <c r="BS164" s="223">
        <f>IF(BM164&lt;$C$11-$C$10+1,0,IF(BL164&lt;=$C$13,VLOOKUP(BL164,$BN$80:$BQ$156,3,FALSE),0))</f>
        <v>0</v>
      </c>
      <c r="BT164" s="222">
        <f>IF(BM164&lt;$C$11-$C$10+1,0,IF(BL164&lt;=$C$13,VLOOKUP(BL164,$BN$80:$BQ$156,4,FALSE),0))</f>
        <v>0</v>
      </c>
      <c r="BU164" s="223">
        <f t="shared" si="299"/>
        <v>0</v>
      </c>
      <c r="BV164" s="223">
        <f t="shared" si="300"/>
        <v>0</v>
      </c>
      <c r="BW164" s="223">
        <f t="shared" si="301"/>
        <v>0</v>
      </c>
      <c r="BX164" s="223">
        <f>IF(AND(BS164&lt;=0,BN164=0),MIN((MAX($BZ$80:$BZ$156)-SUM($BX$80:BX163)),CA164),IF(BS164&lt;CA164,BS164,CA164))</f>
        <v>0</v>
      </c>
      <c r="BY164" s="222">
        <f>IF(BN164&gt;0,0,IF(AND(BN164=0,BT164&lt;=0),100%,((BW163*(AVERAGE($BT$80:BT163))+(BR164*BT164))/(BR164+BW163+BS164+BV163))))</f>
        <v>1</v>
      </c>
      <c r="BZ164" s="139">
        <f t="shared" si="302"/>
        <v>430891.77838569693</v>
      </c>
      <c r="CA164" s="122">
        <f t="shared" si="303"/>
        <v>143244.25004500584</v>
      </c>
      <c r="CB164" s="181">
        <f t="shared" si="304"/>
        <v>1</v>
      </c>
      <c r="CC164" s="122">
        <f t="shared" si="305"/>
        <v>4965256.8012678782</v>
      </c>
      <c r="CD164" s="182">
        <f t="shared" si="306"/>
        <v>0</v>
      </c>
      <c r="CE164" s="122">
        <f t="shared" si="307"/>
        <v>430891.77838569693</v>
      </c>
      <c r="CF164" s="122">
        <f t="shared" si="308"/>
        <v>0</v>
      </c>
      <c r="CG164" s="122" t="str">
        <f t="shared" si="309"/>
        <v/>
      </c>
      <c r="CH164" s="140">
        <f t="shared" si="310"/>
        <v>1</v>
      </c>
      <c r="CI164" s="142">
        <f t="shared" si="311"/>
        <v>9984</v>
      </c>
      <c r="CJ164" s="134">
        <f>CI164*$C$57</f>
        <v>0</v>
      </c>
      <c r="CK164" s="142">
        <f t="shared" si="312"/>
        <v>14926</v>
      </c>
      <c r="CL164" s="134">
        <f>CK164*$C$57</f>
        <v>0</v>
      </c>
      <c r="CM164" s="142">
        <f t="shared" si="313"/>
        <v>58596</v>
      </c>
      <c r="CN164" s="134">
        <f>CM164*$C$57</f>
        <v>0</v>
      </c>
      <c r="CO164" s="132">
        <f t="shared" si="314"/>
        <v>143244.25004500584</v>
      </c>
      <c r="CP164" s="140">
        <f t="shared" si="315"/>
        <v>0.42</v>
      </c>
      <c r="CQ164" s="121" t="str">
        <f>IF($C$50="NEIN","NEIN",IF(CS164&lt;CR164,"JA","NEIN"))</f>
        <v>NEIN</v>
      </c>
      <c r="CR164" s="121">
        <f>CO164*$C$46</f>
        <v>37780.670949370287</v>
      </c>
      <c r="CS164" s="121">
        <f t="shared" si="316"/>
        <v>50895.055018902451</v>
      </c>
      <c r="CT164" s="201">
        <f>IF($C$50="NEIN",CR164,IF(CQ164="NEIN",CR164,CS164))</f>
        <v>37780.670949370287</v>
      </c>
      <c r="CU164" s="149"/>
      <c r="CV164" s="202">
        <f t="shared" si="317"/>
        <v>9984</v>
      </c>
      <c r="CW164" s="134">
        <f>CV164*$C$57</f>
        <v>0</v>
      </c>
      <c r="CX164" s="142">
        <f t="shared" si="318"/>
        <v>14926</v>
      </c>
      <c r="CY164" s="134">
        <f>CX164*$C$57</f>
        <v>0</v>
      </c>
      <c r="CZ164" s="142">
        <f t="shared" si="319"/>
        <v>58596</v>
      </c>
      <c r="DA164" s="143">
        <f>CZ164*$C$57</f>
        <v>0</v>
      </c>
      <c r="DB164" s="165">
        <f t="shared" si="320"/>
        <v>143244.25004500584</v>
      </c>
      <c r="DC164" s="140">
        <f t="shared" si="321"/>
        <v>0.42</v>
      </c>
      <c r="DD164" s="121" t="str">
        <f>IF($C$50="NEIN","NEIN",IF(DF164&lt;DE164,"JA","NEIN"))</f>
        <v>NEIN</v>
      </c>
      <c r="DE164" s="121">
        <f>DB164*$C$46</f>
        <v>37780.670949370287</v>
      </c>
      <c r="DF164" s="121">
        <f t="shared" si="322"/>
        <v>50895.055018902451</v>
      </c>
      <c r="DG164" s="201">
        <f>IF($C$50="NEIN",DE164,IF(DD164="NEIN",DE164,DF164))</f>
        <v>37780.670949370287</v>
      </c>
      <c r="DH164" s="97"/>
      <c r="DI164" s="125"/>
      <c r="DN164" s="75"/>
      <c r="DO164" s="28">
        <f t="shared" si="247"/>
        <v>2105</v>
      </c>
      <c r="DP164" s="17">
        <f>IF($C$13+$C$10&gt;=DO164,-#REF!,IF(DO164=$C$13+$C$10+1,$EK$93,0))</f>
        <v>0</v>
      </c>
      <c r="DQ164" s="17" t="e">
        <f t="shared" si="248"/>
        <v>#REF!</v>
      </c>
      <c r="DR164" s="17" t="e">
        <f t="shared" si="249"/>
        <v>#REF!</v>
      </c>
      <c r="DS164" s="17" t="e">
        <f>#REF!+EB163</f>
        <v>#REF!</v>
      </c>
      <c r="DT164" s="17" t="e">
        <f t="shared" si="191"/>
        <v>#REF!</v>
      </c>
      <c r="DU164" s="17" t="e">
        <f t="shared" si="250"/>
        <v>#REF!</v>
      </c>
      <c r="DV164" s="33" t="e">
        <f t="shared" si="192"/>
        <v>#REF!</v>
      </c>
      <c r="DW164" s="32" t="e">
        <f t="shared" si="193"/>
        <v>#REF!</v>
      </c>
      <c r="DX164" s="17" t="e">
        <f t="shared" si="251"/>
        <v>#REF!</v>
      </c>
      <c r="DY164" s="17" t="e">
        <f t="shared" si="252"/>
        <v>#REF!</v>
      </c>
      <c r="DZ164" s="17" t="e">
        <f t="shared" si="194"/>
        <v>#REF!</v>
      </c>
      <c r="EA164" s="17" t="e">
        <f t="shared" si="224"/>
        <v>#REF!</v>
      </c>
      <c r="EB164" s="15" t="e">
        <f t="shared" si="225"/>
        <v>#REF!</v>
      </c>
      <c r="EC164" s="15">
        <f>IF(DP164=0,EC163,IF(DO164&lt;=$EK$88+$C$10,ABS(DP164)+EC163,EC163))</f>
        <v>430891.77838569693</v>
      </c>
      <c r="ED164" s="15" t="e">
        <f t="shared" si="253"/>
        <v>#REF!</v>
      </c>
      <c r="EE164" s="16" t="e">
        <f t="shared" si="254"/>
        <v>#REF!</v>
      </c>
      <c r="EF164" s="15" t="e">
        <f>IF(DS164&lt;=0,0,DS164-#REF!)</f>
        <v>#REF!</v>
      </c>
      <c r="EG164" s="15" t="e">
        <f t="shared" si="255"/>
        <v>#REF!</v>
      </c>
      <c r="EH164" s="16"/>
      <c r="EI164" s="16"/>
      <c r="EJ164"/>
      <c r="EK164"/>
      <c r="EL164"/>
      <c r="EM164" s="28">
        <f t="shared" si="256"/>
        <v>2105</v>
      </c>
      <c r="EN164" s="29">
        <f>IF($C$13+$C$10&gt;=EM164,-(#REF!),IF(EM164=$C$13+$C$10+1,$FB$93,0))</f>
        <v>0</v>
      </c>
      <c r="EO164" s="30" t="e">
        <f t="shared" si="257"/>
        <v>#REF!</v>
      </c>
      <c r="EP164" s="30" t="e">
        <f t="shared" si="258"/>
        <v>#REF!</v>
      </c>
      <c r="EQ164" s="30" t="e">
        <f>#REF!-EV163</f>
        <v>#REF!</v>
      </c>
      <c r="ER164" s="25" t="e">
        <f t="shared" si="196"/>
        <v>#REF!</v>
      </c>
      <c r="ES164" s="30" t="e">
        <f t="shared" si="259"/>
        <v>#REF!</v>
      </c>
      <c r="ET164" s="26" t="e">
        <f t="shared" si="197"/>
        <v>#REF!</v>
      </c>
      <c r="EU164" s="30" t="e">
        <f t="shared" si="260"/>
        <v>#REF!</v>
      </c>
      <c r="EV164" s="25" t="e">
        <f t="shared" si="198"/>
        <v>#REF!</v>
      </c>
      <c r="EW164" s="31" t="e">
        <f t="shared" si="261"/>
        <v>#REF!</v>
      </c>
      <c r="EX164" s="27">
        <f>IF(EM164=0,EX163,IF(EM164&lt;=$FB$88+$C$10,ABS(EN164)+EX163,EX163))</f>
        <v>430891.77838569693</v>
      </c>
      <c r="EY164" s="15"/>
      <c r="EZ164"/>
      <c r="FA164"/>
      <c r="FB164"/>
      <c r="FJ164" s="28">
        <f t="shared" si="262"/>
        <v>2105</v>
      </c>
      <c r="FK164" s="65">
        <f>IF($C$13+$C$10&gt;=FJ164,-#REF!,IF(FJ164=$C$13+$C$10+1,$EK$93,0))</f>
        <v>0</v>
      </c>
      <c r="FL164" s="65">
        <f t="shared" si="263"/>
        <v>74118.803999999975</v>
      </c>
      <c r="FM164" s="65">
        <f t="shared" si="264"/>
        <v>3806062.7485114443</v>
      </c>
      <c r="FN164" s="65">
        <f>IF(FY163&gt;=$GF$97,0,#REF!+FW163)</f>
        <v>0</v>
      </c>
      <c r="FO164" s="65">
        <f t="shared" si="199"/>
        <v>4072487.1409072457</v>
      </c>
      <c r="FP164" s="65">
        <f t="shared" si="265"/>
        <v>266424.39239580138</v>
      </c>
      <c r="FQ164" s="59">
        <f t="shared" si="200"/>
        <v>1864.9707467706073</v>
      </c>
      <c r="FR164" s="60">
        <f t="shared" si="201"/>
        <v>81449.742818144921</v>
      </c>
      <c r="FS164" s="65">
        <f t="shared" si="266"/>
        <v>0</v>
      </c>
      <c r="FT164" s="65">
        <f t="shared" si="267"/>
        <v>0</v>
      </c>
      <c r="FU164" s="65">
        <f t="shared" si="202"/>
        <v>0</v>
      </c>
      <c r="FV164" s="65">
        <f t="shared" si="228"/>
        <v>14826.395017800005</v>
      </c>
      <c r="FW164" s="61">
        <f t="shared" si="229"/>
        <v>66623.347800344913</v>
      </c>
      <c r="FX164" s="61">
        <f>IF(AND(FJ164&lt;=$GF$88+$C$10,FV163&lt;=0,FN164&gt;0),(FJ164-$C$10+1)*#REF!+$GF$80,FX163)</f>
        <v>73074.599999999977</v>
      </c>
      <c r="FY164" s="62">
        <f t="shared" si="230"/>
        <v>70.179550527717154</v>
      </c>
      <c r="FZ164" s="63">
        <f t="shared" si="268"/>
        <v>4072487.1409072457</v>
      </c>
      <c r="GA164" s="64">
        <f t="shared" si="269"/>
        <v>77674.749969621305</v>
      </c>
      <c r="GB164" s="64">
        <f t="shared" si="270"/>
        <v>1643283.95910586</v>
      </c>
      <c r="GC164" s="66">
        <f>IF(FN164&lt;=0,0,FN164-#REF!)</f>
        <v>0</v>
      </c>
      <c r="GD164" s="64">
        <f t="shared" si="271"/>
        <v>1580.6039999999994</v>
      </c>
      <c r="GE164"/>
      <c r="GF164"/>
      <c r="GI164" s="28">
        <f t="shared" si="272"/>
        <v>2105</v>
      </c>
      <c r="GJ164" s="9">
        <f>IF($GX$88+$C$10&gt;=GI164,-#REF!,IF(GI164=$GX$88+$C$10+1,$FB$93,0))</f>
        <v>0</v>
      </c>
      <c r="GK164" s="5" t="e">
        <f t="shared" si="273"/>
        <v>#REF!</v>
      </c>
      <c r="GL164" s="5" t="e">
        <f t="shared" si="274"/>
        <v>#REF!</v>
      </c>
      <c r="GM164" s="35" t="e">
        <f>IF(FX163=$GF$94,#REF!-GR163+FW163,0)</f>
        <v>#REF!</v>
      </c>
      <c r="GN164" s="4" t="e">
        <f t="shared" si="204"/>
        <v>#REF!</v>
      </c>
      <c r="GO164" s="5" t="e">
        <f t="shared" si="275"/>
        <v>#REF!</v>
      </c>
      <c r="GP164" s="5" t="e">
        <f t="shared" si="205"/>
        <v>#REF!</v>
      </c>
      <c r="GQ164" s="5" t="e">
        <f t="shared" si="276"/>
        <v>#REF!</v>
      </c>
      <c r="GR164" s="4" t="e">
        <f t="shared" si="206"/>
        <v>#REF!</v>
      </c>
      <c r="GS164" s="7" t="e">
        <f t="shared" si="277"/>
        <v>#REF!</v>
      </c>
      <c r="GT164" s="107" t="e">
        <f>IF($DG$62=0,EX164,IF(GI164-$C$10+1&lt;=$GF$98,0,#REF!-FX164))</f>
        <v>#REF!</v>
      </c>
      <c r="GU164"/>
      <c r="GV164"/>
      <c r="GW164"/>
      <c r="GX164"/>
    </row>
    <row r="165" spans="2:206" ht="16.149999999999999" thickBot="1" x14ac:dyDescent="0.55000000000000004">
      <c r="B165" s="333"/>
      <c r="C165" s="75"/>
      <c r="D165" s="75"/>
      <c r="F165" s="75"/>
      <c r="G165" s="75"/>
      <c r="H165" s="75"/>
      <c r="I165" s="75"/>
      <c r="J165" s="75"/>
      <c r="K165" s="75"/>
      <c r="L165" s="75"/>
      <c r="M165" s="75"/>
      <c r="O165" s="75"/>
      <c r="P165" s="75"/>
      <c r="Q165" s="75"/>
      <c r="R165" s="75"/>
      <c r="S165" s="290"/>
      <c r="T165" s="291"/>
      <c r="U165" s="291"/>
      <c r="V165" s="292"/>
      <c r="W165" s="292"/>
      <c r="AB165" s="117">
        <f t="shared" si="207"/>
        <v>113</v>
      </c>
      <c r="AC165" s="117">
        <f t="shared" si="208"/>
        <v>2106</v>
      </c>
      <c r="AD165" s="299">
        <f>IF($C$20="NEIN",$C$21,IF($C$22="JA",'HISTORISCHE RENDITEN'!E89,'HISTORISCHE RENDITEN'!D89))</f>
        <v>-7.6100000000000001E-2</v>
      </c>
      <c r="AE165" s="129">
        <f t="shared" si="278"/>
        <v>113</v>
      </c>
      <c r="AF165" s="120">
        <f t="shared" si="280"/>
        <v>2106</v>
      </c>
      <c r="AG165" s="122">
        <f t="shared" si="281"/>
        <v>0</v>
      </c>
      <c r="AH165" s="124">
        <f t="shared" si="282"/>
        <v>430891.77838569693</v>
      </c>
      <c r="AI165" s="296">
        <f t="shared" si="283"/>
        <v>-2337476.4719407805</v>
      </c>
      <c r="AJ165" s="123">
        <f t="shared" si="233"/>
        <v>0</v>
      </c>
      <c r="AK165" s="124">
        <f t="shared" si="284"/>
        <v>-2159594.5124260872</v>
      </c>
      <c r="AL165" s="122">
        <f t="shared" si="285"/>
        <v>177881.95951469336</v>
      </c>
      <c r="AM165" s="122">
        <f>IF($C$25="Ausschütter",0,IF(AL165&gt;=0,(AI165+AJ165)*$C$48*0.7))</f>
        <v>-1145.3634712509825</v>
      </c>
      <c r="AN165" s="122">
        <f t="shared" si="177"/>
        <v>0</v>
      </c>
      <c r="AO165" s="122">
        <f t="shared" si="212"/>
        <v>-1145.3634712509825</v>
      </c>
      <c r="AP165" s="122">
        <f t="shared" si="286"/>
        <v>20398.101750018202</v>
      </c>
      <c r="AQ165" s="122">
        <f>IF($C$25="AUSSCHÜTTER",0,IF(AO165*$C$46*$C$49&lt;=$C$47,0,AO165*$C$46*$C$49))</f>
        <v>0</v>
      </c>
      <c r="AR165" s="122">
        <f>IF(AO164*$C$49&gt;$C$47,(AN165)*$C$49*$C$46,IF((AO164+AN165)*$C$49&gt;$C$47,((AO164+AN165)*$C$49-$C$47)*$C$46,0))</f>
        <v>0</v>
      </c>
      <c r="AS165" s="122">
        <f t="shared" si="287"/>
        <v>0</v>
      </c>
      <c r="AT165" s="122">
        <f t="shared" si="288"/>
        <v>430891.77838569693</v>
      </c>
      <c r="AU165" s="122">
        <f t="shared" si="289"/>
        <v>0</v>
      </c>
      <c r="AV165" s="122">
        <f t="shared" si="290"/>
        <v>-2159594.5124260872</v>
      </c>
      <c r="AW165" s="122">
        <f t="shared" si="214"/>
        <v>0</v>
      </c>
      <c r="AX165" s="130">
        <f t="shared" si="215"/>
        <v>0</v>
      </c>
      <c r="AY165" s="82">
        <f>IF(AF165&lt;$C$11,$C$15*(1+$C$19)^(AF165-$C$10),0)</f>
        <v>0</v>
      </c>
      <c r="AZ165" s="82">
        <f>$C$14*(1+$C$37)^(AF165-$C$10)</f>
        <v>146825.35629613098</v>
      </c>
      <c r="BA165" s="165">
        <f>IF(AF165&lt;$C$11,0,MAX($C$38*AI165,AZ165))</f>
        <v>146825.35629613098</v>
      </c>
      <c r="BB165" s="82">
        <f>IF(AF165&lt;$C$11,0,MAX($C$38*AI165,AZ165))</f>
        <v>146825.35629613098</v>
      </c>
      <c r="BC165" s="136">
        <f>IF($C$39="JA",CT165,DG165)</f>
        <v>38725.187723104544</v>
      </c>
      <c r="BD165" s="82">
        <f t="shared" si="178"/>
        <v>0</v>
      </c>
      <c r="BE165" s="82">
        <f>IF(AF165&lt;($C$8+$C$30),0,$C$29*12*(1-$C$31))</f>
        <v>0</v>
      </c>
      <c r="BF165" s="82">
        <f>IF(AF165&lt;($C$8+$C$34),0,$C$33*12*(1-$C$35))</f>
        <v>0</v>
      </c>
      <c r="BG165" s="82">
        <f>IF(AF165&lt;$C$11,0,IF(AI165&lt;0,$C$42*(1+$C$44)^(AF165-$C$10),IF(((AL165+BE165+BF165)*$C$41)&lt;$C$42*(1+$C$44)^(AF165-$C$10),$C$42*(1+$C$44)^(AF165-$C$10),IF(((AL165+BE165+BF165)*$C$41)&lt;$C$43*(1+$C$44)^(AF165-$C$10),(AL165+BE165+BF165)*$C$41,IF(((AL165+BE165+BF165+BB165)*$C$41)&lt;$C$43*(1+$C$44)^(AF165-$C$10),((AL165+BE165+BF165+BB165)*$C$41),$C$43*(1+$C$44)^(AF165-$C$10))))))</f>
        <v>8507.9481182440413</v>
      </c>
      <c r="BH165" s="82">
        <f t="shared" si="238"/>
        <v>194058.49213747957</v>
      </c>
      <c r="BI165" s="242">
        <f t="shared" si="291"/>
        <v>-2159594.5124260872</v>
      </c>
      <c r="BJ165" s="217">
        <f t="shared" si="292"/>
        <v>-2353653.0045635668</v>
      </c>
      <c r="BK165" s="118"/>
      <c r="BL165" s="219">
        <f t="shared" si="293"/>
        <v>69</v>
      </c>
      <c r="BM165" s="220">
        <f t="shared" si="294"/>
        <v>86</v>
      </c>
      <c r="BN165" s="220">
        <f t="shared" si="295"/>
        <v>0</v>
      </c>
      <c r="BO165" s="221">
        <f t="shared" si="296"/>
        <v>0</v>
      </c>
      <c r="BP165" s="221">
        <f t="shared" si="297"/>
        <v>0</v>
      </c>
      <c r="BQ165" s="222">
        <f t="shared" si="298"/>
        <v>0</v>
      </c>
      <c r="BR165" s="223">
        <f>IF(BM165&lt;$C$11-$C$10+1,0,IF(BL165&lt;=$C$13,VLOOKUP(BL165,$BN$80:$BQ$156,2,FALSE)-BS165,0))</f>
        <v>0</v>
      </c>
      <c r="BS165" s="223">
        <f>IF(BM165&lt;$C$11-$C$10+1,0,IF(BL165&lt;=$C$13,VLOOKUP(BL165,$BN$80:$BQ$156,3,FALSE),0))</f>
        <v>0</v>
      </c>
      <c r="BT165" s="222">
        <f>IF(BM165&lt;$C$11-$C$10+1,0,IF(BL165&lt;=$C$13,VLOOKUP(BL165,$BN$80:$BQ$156,4,FALSE),0))</f>
        <v>0</v>
      </c>
      <c r="BU165" s="223">
        <f t="shared" si="299"/>
        <v>0</v>
      </c>
      <c r="BV165" s="223">
        <f t="shared" si="300"/>
        <v>0</v>
      </c>
      <c r="BW165" s="223">
        <f t="shared" si="301"/>
        <v>0</v>
      </c>
      <c r="BX165" s="223">
        <f>IF(AND(BS165&lt;=0,BN165=0),MIN((MAX($BZ$80:$BZ$156)-SUM($BX$80:BX164)),CA165),IF(BS165&lt;CA165,BS165,CA165))</f>
        <v>0</v>
      </c>
      <c r="BY165" s="222">
        <f>IF(BN165&gt;0,0,IF(AND(BN165=0,BT165&lt;=0),100%,((BW164*(AVERAGE($BT$80:BT164))+(BR165*BT165))/(BR165+BW164+BS165+BV164))))</f>
        <v>1</v>
      </c>
      <c r="BZ165" s="139">
        <f t="shared" si="302"/>
        <v>430891.77838569693</v>
      </c>
      <c r="CA165" s="122">
        <f t="shared" si="303"/>
        <v>146825.35629613098</v>
      </c>
      <c r="CB165" s="181">
        <f t="shared" si="304"/>
        <v>1</v>
      </c>
      <c r="CC165" s="122">
        <f t="shared" si="305"/>
        <v>5112082.1575640095</v>
      </c>
      <c r="CD165" s="182">
        <f t="shared" si="306"/>
        <v>0</v>
      </c>
      <c r="CE165" s="122">
        <f t="shared" si="307"/>
        <v>430891.77838569693</v>
      </c>
      <c r="CF165" s="122">
        <f t="shared" si="308"/>
        <v>0</v>
      </c>
      <c r="CG165" s="122" t="str">
        <f t="shared" si="309"/>
        <v/>
      </c>
      <c r="CH165" s="140">
        <f t="shared" si="310"/>
        <v>1</v>
      </c>
      <c r="CI165" s="142">
        <f t="shared" si="311"/>
        <v>9984</v>
      </c>
      <c r="CJ165" s="134">
        <f>CI165*$C$57</f>
        <v>0</v>
      </c>
      <c r="CK165" s="142">
        <f t="shared" si="312"/>
        <v>14926</v>
      </c>
      <c r="CL165" s="134">
        <f>CK165*$C$57</f>
        <v>0</v>
      </c>
      <c r="CM165" s="142">
        <f t="shared" si="313"/>
        <v>58596</v>
      </c>
      <c r="CN165" s="134">
        <f>CM165*$C$57</f>
        <v>0</v>
      </c>
      <c r="CO165" s="132">
        <f t="shared" si="314"/>
        <v>146825.35629613098</v>
      </c>
      <c r="CP165" s="140">
        <f t="shared" si="315"/>
        <v>0.42</v>
      </c>
      <c r="CQ165" s="121" t="str">
        <f>IF($C$50="NEIN","NEIN",IF(CS165&lt;CR165,"JA","NEIN"))</f>
        <v>NEIN</v>
      </c>
      <c r="CR165" s="121">
        <f>CO165*$C$46</f>
        <v>38725.187723104544</v>
      </c>
      <c r="CS165" s="121">
        <f t="shared" si="316"/>
        <v>52399.119644375009</v>
      </c>
      <c r="CT165" s="201">
        <f>IF($C$50="NEIN",CR165,IF(CQ165="NEIN",CR165,CS165))</f>
        <v>38725.187723104544</v>
      </c>
      <c r="CU165" s="149"/>
      <c r="CV165" s="202">
        <f t="shared" si="317"/>
        <v>9984</v>
      </c>
      <c r="CW165" s="134">
        <f>CV165*$C$57</f>
        <v>0</v>
      </c>
      <c r="CX165" s="142">
        <f t="shared" si="318"/>
        <v>14926</v>
      </c>
      <c r="CY165" s="134">
        <f>CX165*$C$57</f>
        <v>0</v>
      </c>
      <c r="CZ165" s="142">
        <f t="shared" si="319"/>
        <v>58596</v>
      </c>
      <c r="DA165" s="143">
        <f>CZ165*$C$57</f>
        <v>0</v>
      </c>
      <c r="DB165" s="165">
        <f t="shared" si="320"/>
        <v>146825.35629613098</v>
      </c>
      <c r="DC165" s="140">
        <f t="shared" si="321"/>
        <v>0.42</v>
      </c>
      <c r="DD165" s="121" t="str">
        <f>IF($C$50="NEIN","NEIN",IF(DF165&lt;DE165,"JA","NEIN"))</f>
        <v>NEIN</v>
      </c>
      <c r="DE165" s="121">
        <f>DB165*$C$46</f>
        <v>38725.187723104544</v>
      </c>
      <c r="DF165" s="121">
        <f t="shared" si="322"/>
        <v>52399.119644375009</v>
      </c>
      <c r="DG165" s="201">
        <f>IF($C$50="NEIN",DE165,IF(DD165="NEIN",DE165,DF165))</f>
        <v>38725.187723104544</v>
      </c>
      <c r="DH165" s="97"/>
      <c r="DI165" s="125"/>
      <c r="DN165" s="75"/>
      <c r="DO165" s="28">
        <f t="shared" si="247"/>
        <v>2106</v>
      </c>
      <c r="DP165" s="17">
        <f>IF($C$13+$C$10&gt;=DO165,-#REF!,IF(DO165=$C$13+$C$10+1,$EK$93,0))</f>
        <v>0</v>
      </c>
      <c r="DQ165" s="17" t="e">
        <f t="shared" si="248"/>
        <v>#REF!</v>
      </c>
      <c r="DR165" s="17" t="e">
        <f t="shared" si="249"/>
        <v>#REF!</v>
      </c>
      <c r="DS165" s="17" t="e">
        <f>#REF!+EB164</f>
        <v>#REF!</v>
      </c>
      <c r="DT165" s="17" t="e">
        <f t="shared" si="191"/>
        <v>#REF!</v>
      </c>
      <c r="DU165" s="17" t="e">
        <f t="shared" si="250"/>
        <v>#REF!</v>
      </c>
      <c r="DV165" s="33" t="e">
        <f t="shared" si="192"/>
        <v>#REF!</v>
      </c>
      <c r="DW165" s="32" t="e">
        <f t="shared" si="193"/>
        <v>#REF!</v>
      </c>
      <c r="DX165" s="17" t="e">
        <f t="shared" si="251"/>
        <v>#REF!</v>
      </c>
      <c r="DY165" s="17" t="e">
        <f t="shared" si="252"/>
        <v>#REF!</v>
      </c>
      <c r="DZ165" s="17" t="e">
        <f t="shared" si="194"/>
        <v>#REF!</v>
      </c>
      <c r="EA165" s="17" t="e">
        <f t="shared" si="224"/>
        <v>#REF!</v>
      </c>
      <c r="EB165" s="15" t="e">
        <f t="shared" si="225"/>
        <v>#REF!</v>
      </c>
      <c r="EC165" s="15">
        <f>IF(DP165=0,EC164,IF(DO165&lt;=$EK$88+$C$10,ABS(DP165)+EC164,EC164))</f>
        <v>430891.77838569693</v>
      </c>
      <c r="ED165" s="15" t="e">
        <f t="shared" si="253"/>
        <v>#REF!</v>
      </c>
      <c r="EE165" s="16" t="e">
        <f t="shared" si="254"/>
        <v>#REF!</v>
      </c>
      <c r="EF165" s="15" t="e">
        <f>IF(DS165&lt;=0,0,DS165-#REF!)</f>
        <v>#REF!</v>
      </c>
      <c r="EG165" s="15" t="e">
        <f t="shared" si="255"/>
        <v>#REF!</v>
      </c>
      <c r="EH165" s="16"/>
      <c r="EI165" s="16"/>
      <c r="EJ165"/>
      <c r="EK165"/>
      <c r="EL165"/>
      <c r="EM165" s="28">
        <f t="shared" si="256"/>
        <v>2106</v>
      </c>
      <c r="EN165" s="29">
        <f>IF($C$13+$C$10&gt;=EM165,-(#REF!),IF(EM165=$C$13+$C$10+1,$FB$93,0))</f>
        <v>0</v>
      </c>
      <c r="EO165" s="30" t="e">
        <f t="shared" si="257"/>
        <v>#REF!</v>
      </c>
      <c r="EP165" s="30" t="e">
        <f t="shared" si="258"/>
        <v>#REF!</v>
      </c>
      <c r="EQ165" s="30" t="e">
        <f>#REF!-EV164</f>
        <v>#REF!</v>
      </c>
      <c r="ER165" s="25" t="e">
        <f t="shared" si="196"/>
        <v>#REF!</v>
      </c>
      <c r="ES165" s="30" t="e">
        <f t="shared" si="259"/>
        <v>#REF!</v>
      </c>
      <c r="ET165" s="26" t="e">
        <f t="shared" si="197"/>
        <v>#REF!</v>
      </c>
      <c r="EU165" s="30" t="e">
        <f t="shared" si="260"/>
        <v>#REF!</v>
      </c>
      <c r="EV165" s="25" t="e">
        <f t="shared" si="198"/>
        <v>#REF!</v>
      </c>
      <c r="EW165" s="31" t="e">
        <f t="shared" si="261"/>
        <v>#REF!</v>
      </c>
      <c r="EX165" s="27">
        <f>IF(EM165=0,EX164,IF(EM165&lt;=$FB$88+$C$10,ABS(EN165)+EX164,EX164))</f>
        <v>430891.77838569693</v>
      </c>
      <c r="EY165" s="15"/>
      <c r="EZ165"/>
      <c r="FA165"/>
      <c r="FB165"/>
      <c r="FJ165" s="28">
        <f t="shared" si="262"/>
        <v>2106</v>
      </c>
      <c r="FK165" s="65">
        <f>IF($C$13+$C$10&gt;=FJ165,-#REF!,IF(FJ165=$C$13+$C$10+1,$EK$93,0))</f>
        <v>0</v>
      </c>
      <c r="FL165" s="65">
        <f t="shared" si="263"/>
        <v>74118.803999999975</v>
      </c>
      <c r="FM165" s="65">
        <f t="shared" si="264"/>
        <v>3991037.3980891006</v>
      </c>
      <c r="FN165" s="65">
        <f>IF(FY164&gt;=$GF$97,0,#REF!+FW164)</f>
        <v>0</v>
      </c>
      <c r="FO165" s="65">
        <f t="shared" si="199"/>
        <v>4270410.0159553383</v>
      </c>
      <c r="FP165" s="65">
        <f t="shared" si="265"/>
        <v>279372.61786623765</v>
      </c>
      <c r="FQ165" s="59">
        <f t="shared" si="200"/>
        <v>1955.6083250636591</v>
      </c>
      <c r="FR165" s="60">
        <f t="shared" si="201"/>
        <v>85408.200319106763</v>
      </c>
      <c r="FS165" s="65">
        <f t="shared" si="266"/>
        <v>0</v>
      </c>
      <c r="FT165" s="65">
        <f t="shared" si="267"/>
        <v>0</v>
      </c>
      <c r="FU165" s="65">
        <f t="shared" si="202"/>
        <v>0</v>
      </c>
      <c r="FV165" s="65">
        <f t="shared" si="228"/>
        <v>15557.225233915084</v>
      </c>
      <c r="FW165" s="61">
        <f t="shared" si="229"/>
        <v>69850.975085191676</v>
      </c>
      <c r="FX165" s="61">
        <f>IF(AND(FJ165&lt;=$GF$88+$C$10,FV164&lt;=0,FN165&gt;0),(FJ165-$C$10+1)*#REF!+$GF$80,FX164)</f>
        <v>73074.599999999977</v>
      </c>
      <c r="FY165" s="62">
        <f t="shared" si="230"/>
        <v>73.638876683364202</v>
      </c>
      <c r="FZ165" s="63">
        <f t="shared" si="268"/>
        <v>4270410.0159553383</v>
      </c>
      <c r="GA165" s="64">
        <f t="shared" si="269"/>
        <v>81449.742818144921</v>
      </c>
      <c r="GB165" s="64">
        <f t="shared" si="270"/>
        <v>1724733.7019240048</v>
      </c>
      <c r="GC165" s="66">
        <f>IF(FN165&lt;=0,0,FN165-#REF!)</f>
        <v>0</v>
      </c>
      <c r="GD165" s="64">
        <f t="shared" si="271"/>
        <v>1580.6039999999994</v>
      </c>
      <c r="GE165"/>
      <c r="GF165"/>
      <c r="GI165" s="28">
        <f t="shared" si="272"/>
        <v>2106</v>
      </c>
      <c r="GJ165" s="9">
        <f>IF($GX$88+$C$10&gt;=GI165,-#REF!,IF(GI165=$GX$88+$C$10+1,$FB$93,0))</f>
        <v>0</v>
      </c>
      <c r="GK165" s="5" t="e">
        <f t="shared" si="273"/>
        <v>#REF!</v>
      </c>
      <c r="GL165" s="5" t="e">
        <f t="shared" si="274"/>
        <v>#REF!</v>
      </c>
      <c r="GM165" s="35" t="e">
        <f>IF(FX164=$GF$94,#REF!-GR164+FW164,0)</f>
        <v>#REF!</v>
      </c>
      <c r="GN165" s="4" t="e">
        <f t="shared" si="204"/>
        <v>#REF!</v>
      </c>
      <c r="GO165" s="5" t="e">
        <f t="shared" si="275"/>
        <v>#REF!</v>
      </c>
      <c r="GP165" s="5" t="e">
        <f t="shared" si="205"/>
        <v>#REF!</v>
      </c>
      <c r="GQ165" s="5" t="e">
        <f t="shared" si="276"/>
        <v>#REF!</v>
      </c>
      <c r="GR165" s="4" t="e">
        <f t="shared" si="206"/>
        <v>#REF!</v>
      </c>
      <c r="GS165" s="7" t="e">
        <f t="shared" si="277"/>
        <v>#REF!</v>
      </c>
      <c r="GT165" s="107" t="e">
        <f>IF($DG$62=0,EX165,IF(GI165-$C$10+1&lt;=$GF$98,0,#REF!-FX165))</f>
        <v>#REF!</v>
      </c>
      <c r="GU165"/>
      <c r="GV165"/>
      <c r="GW165"/>
      <c r="GX165"/>
    </row>
    <row r="166" spans="2:206" ht="16.149999999999999" thickBot="1" x14ac:dyDescent="0.55000000000000004">
      <c r="B166" s="333"/>
      <c r="C166" s="75"/>
      <c r="D166" s="75"/>
      <c r="F166" s="75"/>
      <c r="G166" s="75"/>
      <c r="H166" s="75"/>
      <c r="I166" s="75"/>
      <c r="J166" s="75"/>
      <c r="K166" s="75"/>
      <c r="L166" s="75"/>
      <c r="M166" s="75"/>
      <c r="O166" s="75"/>
      <c r="P166" s="75"/>
      <c r="Q166" s="75"/>
      <c r="R166" s="75"/>
      <c r="S166" s="290"/>
      <c r="T166" s="291"/>
      <c r="U166" s="291"/>
      <c r="V166" s="292"/>
      <c r="W166" s="292"/>
      <c r="AB166" s="117">
        <f t="shared" si="207"/>
        <v>114</v>
      </c>
      <c r="AC166" s="117">
        <f t="shared" si="208"/>
        <v>2107</v>
      </c>
      <c r="AD166" s="299">
        <f>IF($C$20="NEIN",$C$21,IF($C$22="JA",'HISTORISCHE RENDITEN'!E90,'HISTORISCHE RENDITEN'!D90))</f>
        <v>0.1318</v>
      </c>
      <c r="AE166" s="129">
        <f t="shared" si="278"/>
        <v>114</v>
      </c>
      <c r="AF166" s="120">
        <f t="shared" si="280"/>
        <v>2107</v>
      </c>
      <c r="AG166" s="122">
        <f t="shared" si="281"/>
        <v>0</v>
      </c>
      <c r="AH166" s="124">
        <f t="shared" si="282"/>
        <v>430891.77838569693</v>
      </c>
      <c r="AI166" s="296">
        <f t="shared" si="283"/>
        <v>-2353653.0045635668</v>
      </c>
      <c r="AJ166" s="123">
        <f t="shared" si="233"/>
        <v>0</v>
      </c>
      <c r="AK166" s="124">
        <f t="shared" si="284"/>
        <v>-2663864.4705650448</v>
      </c>
      <c r="AL166" s="122">
        <f t="shared" si="285"/>
        <v>-310211.46600147802</v>
      </c>
      <c r="AM166" s="122" t="b">
        <f>IF($C$25="Ausschütter",0,IF(AL166&gt;=0,(AI166+AJ166)*$C$48*0.7))</f>
        <v>0</v>
      </c>
      <c r="AN166" s="122">
        <f t="shared" si="177"/>
        <v>0</v>
      </c>
      <c r="AO166" s="122">
        <f t="shared" si="212"/>
        <v>0</v>
      </c>
      <c r="AP166" s="122">
        <f t="shared" si="286"/>
        <v>20398.101750018202</v>
      </c>
      <c r="AQ166" s="122">
        <f>IF($C$25="AUSSCHÜTTER",0,IF(AO166*$C$46*$C$49&lt;=$C$47,0,AO166*$C$46*$C$49))</f>
        <v>0</v>
      </c>
      <c r="AR166" s="122">
        <f>IF(AO165*$C$49&gt;$C$47,(AN166)*$C$49*$C$46,IF((AO165+AN166)*$C$49&gt;$C$47,((AO165+AN166)*$C$49-$C$47)*$C$46,0))</f>
        <v>0</v>
      </c>
      <c r="AS166" s="122">
        <f t="shared" si="287"/>
        <v>0</v>
      </c>
      <c r="AT166" s="122">
        <f t="shared" si="288"/>
        <v>430891.77838569693</v>
      </c>
      <c r="AU166" s="122">
        <f t="shared" si="289"/>
        <v>0</v>
      </c>
      <c r="AV166" s="122">
        <f t="shared" si="290"/>
        <v>-2663864.4705650448</v>
      </c>
      <c r="AW166" s="122">
        <f t="shared" si="214"/>
        <v>0</v>
      </c>
      <c r="AX166" s="130">
        <f t="shared" si="215"/>
        <v>0</v>
      </c>
      <c r="AY166" s="82">
        <f>IF(AF166&lt;$C$11,$C$15*(1+$C$19)^(AF166-$C$10),0)</f>
        <v>0</v>
      </c>
      <c r="AZ166" s="82">
        <f>$C$14*(1+$C$37)^(AF166-$C$10)</f>
        <v>150495.99020353425</v>
      </c>
      <c r="BA166" s="165">
        <f>IF(AF166&lt;$C$11,0,MAX($C$38*AI166,AZ166))</f>
        <v>150495.99020353425</v>
      </c>
      <c r="BB166" s="82">
        <f>IF(AF166&lt;$C$11,0,MAX($C$38*AI166,AZ166))</f>
        <v>150495.99020353425</v>
      </c>
      <c r="BC166" s="136">
        <f>IF($C$39="JA",CT166,DG166)</f>
        <v>39693.317416182159</v>
      </c>
      <c r="BD166" s="82">
        <f t="shared" si="178"/>
        <v>0</v>
      </c>
      <c r="BE166" s="82">
        <f>IF(AF166&lt;($C$8+$C$30),0,$C$29*12*(1-$C$31))</f>
        <v>0</v>
      </c>
      <c r="BF166" s="82">
        <f>IF(AF166&lt;($C$8+$C$34),0,$C$33*12*(1-$C$35))</f>
        <v>0</v>
      </c>
      <c r="BG166" s="82">
        <f>IF(AF166&lt;$C$11,0,IF(AI166&lt;0,$C$42*(1+$C$44)^(AF166-$C$10),IF(((AL166+BE166+BF166)*$C$41)&lt;$C$42*(1+$C$44)^(AF166-$C$10),$C$42*(1+$C$44)^(AF166-$C$10),IF(((AL166+BE166+BF166)*$C$41)&lt;$C$43*(1+$C$44)^(AF166-$C$10),(AL166+BE166+BF166)*$C$41,IF(((AL166+BE166+BF166+BB166)*$C$41)&lt;$C$43*(1+$C$44)^(AF166-$C$10),((AL166+BE166+BF166+BB166)*$C$41),$C$43*(1+$C$44)^(AF166-$C$10))))))</f>
        <v>8635.5673400177002</v>
      </c>
      <c r="BH166" s="82">
        <f t="shared" si="238"/>
        <v>198824.87495973409</v>
      </c>
      <c r="BI166" s="242">
        <f t="shared" si="291"/>
        <v>-2663864.4705650448</v>
      </c>
      <c r="BJ166" s="217">
        <f t="shared" si="292"/>
        <v>-2862689.3455247791</v>
      </c>
      <c r="BK166" s="118"/>
      <c r="BL166" s="219">
        <f t="shared" si="293"/>
        <v>70</v>
      </c>
      <c r="BM166" s="220">
        <f t="shared" si="294"/>
        <v>87</v>
      </c>
      <c r="BN166" s="220">
        <f t="shared" si="295"/>
        <v>0</v>
      </c>
      <c r="BO166" s="221">
        <f t="shared" si="296"/>
        <v>0</v>
      </c>
      <c r="BP166" s="221">
        <f t="shared" si="297"/>
        <v>0</v>
      </c>
      <c r="BQ166" s="222">
        <f t="shared" si="298"/>
        <v>0</v>
      </c>
      <c r="BR166" s="223">
        <f>IF(BM166&lt;$C$11-$C$10+1,0,IF(BL166&lt;=$C$13,VLOOKUP(BL166,$BN$80:$BQ$156,2,FALSE)-BS166,0))</f>
        <v>0</v>
      </c>
      <c r="BS166" s="223">
        <f>IF(BM166&lt;$C$11-$C$10+1,0,IF(BL166&lt;=$C$13,VLOOKUP(BL166,$BN$80:$BQ$156,3,FALSE),0))</f>
        <v>0</v>
      </c>
      <c r="BT166" s="222">
        <f>IF(BM166&lt;$C$11-$C$10+1,0,IF(BL166&lt;=$C$13,VLOOKUP(BL166,$BN$80:$BQ$156,4,FALSE),0))</f>
        <v>0</v>
      </c>
      <c r="BU166" s="223">
        <f t="shared" si="299"/>
        <v>0</v>
      </c>
      <c r="BV166" s="223">
        <f t="shared" si="300"/>
        <v>0</v>
      </c>
      <c r="BW166" s="223">
        <f t="shared" si="301"/>
        <v>0</v>
      </c>
      <c r="BX166" s="223">
        <f>IF(AND(BS166&lt;=0,BN166=0),MIN((MAX($BZ$80:$BZ$156)-SUM($BX$80:BX165)),CA166),IF(BS166&lt;CA166,BS166,CA166))</f>
        <v>0</v>
      </c>
      <c r="BY166" s="222">
        <f>IF(BN166&gt;0,0,IF(AND(BN166=0,BT166&lt;=0),100%,((BW165*(AVERAGE($BT$80:BT165))+(BR166*BT166))/(BR166+BW165+BS166+BV165))))</f>
        <v>1</v>
      </c>
      <c r="BZ166" s="139">
        <f t="shared" si="302"/>
        <v>430891.77838569693</v>
      </c>
      <c r="CA166" s="122">
        <f t="shared" si="303"/>
        <v>150495.99020353425</v>
      </c>
      <c r="CB166" s="181">
        <f t="shared" si="304"/>
        <v>1</v>
      </c>
      <c r="CC166" s="122">
        <f t="shared" si="305"/>
        <v>5262578.1477675438</v>
      </c>
      <c r="CD166" s="182">
        <f t="shared" si="306"/>
        <v>0</v>
      </c>
      <c r="CE166" s="122">
        <f t="shared" si="307"/>
        <v>430891.77838569693</v>
      </c>
      <c r="CF166" s="122">
        <f t="shared" si="308"/>
        <v>0</v>
      </c>
      <c r="CG166" s="122" t="str">
        <f t="shared" si="309"/>
        <v/>
      </c>
      <c r="CH166" s="140">
        <f t="shared" si="310"/>
        <v>1</v>
      </c>
      <c r="CI166" s="142">
        <f t="shared" si="311"/>
        <v>9984</v>
      </c>
      <c r="CJ166" s="134">
        <f>CI166*$C$57</f>
        <v>0</v>
      </c>
      <c r="CK166" s="142">
        <f t="shared" si="312"/>
        <v>14926</v>
      </c>
      <c r="CL166" s="134">
        <f>CK166*$C$57</f>
        <v>0</v>
      </c>
      <c r="CM166" s="142">
        <f t="shared" si="313"/>
        <v>58596</v>
      </c>
      <c r="CN166" s="134">
        <f>CM166*$C$57</f>
        <v>0</v>
      </c>
      <c r="CO166" s="132">
        <f t="shared" si="314"/>
        <v>150495.99020353425</v>
      </c>
      <c r="CP166" s="140">
        <f t="shared" si="315"/>
        <v>0.42</v>
      </c>
      <c r="CQ166" s="121" t="str">
        <f>IF($C$50="NEIN","NEIN",IF(CS166&lt;CR166,"JA","NEIN"))</f>
        <v>NEIN</v>
      </c>
      <c r="CR166" s="121">
        <f>CO166*$C$46</f>
        <v>39693.317416182159</v>
      </c>
      <c r="CS166" s="121">
        <f t="shared" si="316"/>
        <v>53940.785885484387</v>
      </c>
      <c r="CT166" s="201">
        <f>IF($C$50="NEIN",CR166,IF(CQ166="NEIN",CR166,CS166))</f>
        <v>39693.317416182159</v>
      </c>
      <c r="CU166" s="149"/>
      <c r="CV166" s="202">
        <f t="shared" si="317"/>
        <v>9984</v>
      </c>
      <c r="CW166" s="134">
        <f>CV166*$C$57</f>
        <v>0</v>
      </c>
      <c r="CX166" s="142">
        <f t="shared" si="318"/>
        <v>14926</v>
      </c>
      <c r="CY166" s="134">
        <f>CX166*$C$57</f>
        <v>0</v>
      </c>
      <c r="CZ166" s="142">
        <f t="shared" si="319"/>
        <v>58596</v>
      </c>
      <c r="DA166" s="143">
        <f>CZ166*$C$57</f>
        <v>0</v>
      </c>
      <c r="DB166" s="165">
        <f t="shared" si="320"/>
        <v>150495.99020353425</v>
      </c>
      <c r="DC166" s="140">
        <f t="shared" si="321"/>
        <v>0.42</v>
      </c>
      <c r="DD166" s="121" t="str">
        <f>IF($C$50="NEIN","NEIN",IF(DF166&lt;DE166,"JA","NEIN"))</f>
        <v>NEIN</v>
      </c>
      <c r="DE166" s="121">
        <f>DB166*$C$46</f>
        <v>39693.317416182159</v>
      </c>
      <c r="DF166" s="121">
        <f t="shared" si="322"/>
        <v>53940.785885484387</v>
      </c>
      <c r="DG166" s="201">
        <f>IF($C$50="NEIN",DE166,IF(DD166="NEIN",DE166,DF166))</f>
        <v>39693.317416182159</v>
      </c>
      <c r="DH166" s="97"/>
      <c r="DI166" s="125"/>
      <c r="DN166" s="75"/>
      <c r="DO166" s="28">
        <f t="shared" si="247"/>
        <v>2107</v>
      </c>
      <c r="DP166" s="17">
        <f>IF($C$13+$C$10&gt;=DO166,-#REF!,IF(DO166=$C$13+$C$10+1,$EK$93,0))</f>
        <v>0</v>
      </c>
      <c r="DQ166" s="17" t="e">
        <f t="shared" si="248"/>
        <v>#REF!</v>
      </c>
      <c r="DR166" s="17" t="e">
        <f t="shared" si="249"/>
        <v>#REF!</v>
      </c>
      <c r="DS166" s="17" t="e">
        <f>#REF!+EB165</f>
        <v>#REF!</v>
      </c>
      <c r="DT166" s="17" t="e">
        <f t="shared" si="191"/>
        <v>#REF!</v>
      </c>
      <c r="DU166" s="17" t="e">
        <f t="shared" si="250"/>
        <v>#REF!</v>
      </c>
      <c r="DV166" s="33" t="e">
        <f t="shared" si="192"/>
        <v>#REF!</v>
      </c>
      <c r="DW166" s="32" t="e">
        <f t="shared" si="193"/>
        <v>#REF!</v>
      </c>
      <c r="DX166" s="17" t="e">
        <f t="shared" si="251"/>
        <v>#REF!</v>
      </c>
      <c r="DY166" s="17" t="e">
        <f t="shared" si="252"/>
        <v>#REF!</v>
      </c>
      <c r="DZ166" s="17" t="e">
        <f t="shared" si="194"/>
        <v>#REF!</v>
      </c>
      <c r="EA166" s="17" t="e">
        <f t="shared" si="224"/>
        <v>#REF!</v>
      </c>
      <c r="EB166" s="15" t="e">
        <f t="shared" si="225"/>
        <v>#REF!</v>
      </c>
      <c r="EC166" s="15">
        <f>IF(DP166=0,EC165,IF(DO166&lt;=$EK$88+$C$10,ABS(DP166)+EC165,EC165))</f>
        <v>430891.77838569693</v>
      </c>
      <c r="ED166" s="15" t="e">
        <f t="shared" si="253"/>
        <v>#REF!</v>
      </c>
      <c r="EE166" s="16" t="e">
        <f t="shared" si="254"/>
        <v>#REF!</v>
      </c>
      <c r="EF166" s="15" t="e">
        <f>IF(DS166&lt;=0,0,DS166-#REF!)</f>
        <v>#REF!</v>
      </c>
      <c r="EG166" s="15" t="e">
        <f t="shared" si="255"/>
        <v>#REF!</v>
      </c>
      <c r="EH166" s="16"/>
      <c r="EI166" s="16"/>
      <c r="EJ166"/>
      <c r="EK166"/>
      <c r="EL166"/>
      <c r="EM166" s="28">
        <f t="shared" si="256"/>
        <v>2107</v>
      </c>
      <c r="EN166" s="29">
        <f>IF($C$13+$C$10&gt;=EM166,-(#REF!),IF(EM166=$C$13+$C$10+1,$FB$93,0))</f>
        <v>0</v>
      </c>
      <c r="EO166" s="30" t="e">
        <f t="shared" si="257"/>
        <v>#REF!</v>
      </c>
      <c r="EP166" s="30" t="e">
        <f t="shared" si="258"/>
        <v>#REF!</v>
      </c>
      <c r="EQ166" s="30" t="e">
        <f>#REF!-EV165</f>
        <v>#REF!</v>
      </c>
      <c r="ER166" s="25" t="e">
        <f t="shared" si="196"/>
        <v>#REF!</v>
      </c>
      <c r="ES166" s="30" t="e">
        <f t="shared" si="259"/>
        <v>#REF!</v>
      </c>
      <c r="ET166" s="26" t="e">
        <f t="shared" si="197"/>
        <v>#REF!</v>
      </c>
      <c r="EU166" s="30" t="e">
        <f t="shared" si="260"/>
        <v>#REF!</v>
      </c>
      <c r="EV166" s="25" t="e">
        <f t="shared" si="198"/>
        <v>#REF!</v>
      </c>
      <c r="EW166" s="31" t="e">
        <f t="shared" si="261"/>
        <v>#REF!</v>
      </c>
      <c r="EX166" s="27">
        <f>IF(EM166=0,EX165,IF(EM166&lt;=$FB$88+$C$10,ABS(EN166)+EX165,EX165))</f>
        <v>430891.77838569693</v>
      </c>
      <c r="EY166" s="15"/>
      <c r="EZ166"/>
      <c r="FA166"/>
      <c r="FB166"/>
      <c r="FJ166" s="28">
        <f t="shared" si="262"/>
        <v>2107</v>
      </c>
      <c r="FK166" s="65">
        <f>IF($C$13+$C$10&gt;=FJ166,-#REF!,IF(FJ166=$C$13+$C$10+1,$EK$93,0))</f>
        <v>0</v>
      </c>
      <c r="FL166" s="65">
        <f t="shared" si="263"/>
        <v>74118.803999999975</v>
      </c>
      <c r="FM166" s="65">
        <f t="shared" si="264"/>
        <v>4185001.8156362316</v>
      </c>
      <c r="FN166" s="65">
        <f>IF(FY165&gt;=$GF$97,0,#REF!+FW165)</f>
        <v>0</v>
      </c>
      <c r="FO166" s="65">
        <f t="shared" si="199"/>
        <v>4477951.9427307677</v>
      </c>
      <c r="FP166" s="65">
        <f t="shared" si="265"/>
        <v>292950.12709453609</v>
      </c>
      <c r="FQ166" s="59">
        <f t="shared" si="200"/>
        <v>2050.6508896617534</v>
      </c>
      <c r="FR166" s="60">
        <f t="shared" si="201"/>
        <v>89559.038854615355</v>
      </c>
      <c r="FS166" s="65">
        <f t="shared" si="266"/>
        <v>0</v>
      </c>
      <c r="FT166" s="65">
        <f t="shared" si="267"/>
        <v>0</v>
      </c>
      <c r="FU166" s="65">
        <f t="shared" si="202"/>
        <v>0</v>
      </c>
      <c r="FV166" s="65">
        <f t="shared" si="228"/>
        <v>16323.573798533356</v>
      </c>
      <c r="FW166" s="61">
        <f t="shared" si="229"/>
        <v>73235.465056082001</v>
      </c>
      <c r="FX166" s="61">
        <f>IF(AND(FJ166&lt;=$GF$88+$C$10,FV165&lt;=0,FN166&gt;0),(FJ166-$C$10+1)*#REF!+$GF$80,FX165)</f>
        <v>73074.599999999977</v>
      </c>
      <c r="FY166" s="62">
        <f t="shared" si="230"/>
        <v>77.26632609017571</v>
      </c>
      <c r="FZ166" s="63">
        <f t="shared" si="268"/>
        <v>4477951.9427307677</v>
      </c>
      <c r="GA166" s="64">
        <f t="shared" si="269"/>
        <v>85408.200319106763</v>
      </c>
      <c r="GB166" s="64">
        <f t="shared" si="270"/>
        <v>1810141.9022431115</v>
      </c>
      <c r="GC166" s="66">
        <f>IF(FN166&lt;=0,0,FN166-#REF!)</f>
        <v>0</v>
      </c>
      <c r="GD166" s="64">
        <f t="shared" si="271"/>
        <v>1580.6039999999994</v>
      </c>
      <c r="GE166"/>
      <c r="GF166"/>
      <c r="GI166" s="28">
        <f t="shared" si="272"/>
        <v>2107</v>
      </c>
      <c r="GJ166" s="9">
        <f>IF($GX$88+$C$10&gt;=GI166,-#REF!,IF(GI166=$GX$88+$C$10+1,$FB$93,0))</f>
        <v>0</v>
      </c>
      <c r="GK166" s="5" t="e">
        <f t="shared" si="273"/>
        <v>#REF!</v>
      </c>
      <c r="GL166" s="5" t="e">
        <f t="shared" si="274"/>
        <v>#REF!</v>
      </c>
      <c r="GM166" s="35" t="e">
        <f>IF(FX165=$GF$94,#REF!-GR165+FW165,0)</f>
        <v>#REF!</v>
      </c>
      <c r="GN166" s="4" t="e">
        <f t="shared" si="204"/>
        <v>#REF!</v>
      </c>
      <c r="GO166" s="5" t="e">
        <f t="shared" si="275"/>
        <v>#REF!</v>
      </c>
      <c r="GP166" s="5" t="e">
        <f t="shared" si="205"/>
        <v>#REF!</v>
      </c>
      <c r="GQ166" s="5" t="e">
        <f t="shared" si="276"/>
        <v>#REF!</v>
      </c>
      <c r="GR166" s="4" t="e">
        <f t="shared" si="206"/>
        <v>#REF!</v>
      </c>
      <c r="GS166" s="7" t="e">
        <f t="shared" si="277"/>
        <v>#REF!</v>
      </c>
      <c r="GT166" s="107" t="e">
        <f>IF($DG$62=0,EX166,IF(GI166-$C$10+1&lt;=$GF$98,0,#REF!-FX166))</f>
        <v>#REF!</v>
      </c>
      <c r="GU166"/>
      <c r="GV166"/>
      <c r="GW166"/>
      <c r="GX166"/>
    </row>
    <row r="167" spans="2:206" ht="16.149999999999999" thickBot="1" x14ac:dyDescent="0.55000000000000004">
      <c r="B167" s="333"/>
      <c r="C167" s="75"/>
      <c r="D167" s="75"/>
      <c r="F167" s="75"/>
      <c r="G167" s="75"/>
      <c r="H167" s="75"/>
      <c r="I167" s="75"/>
      <c r="J167" s="75"/>
      <c r="K167" s="75"/>
      <c r="L167" s="75"/>
      <c r="M167" s="75"/>
      <c r="O167" s="75"/>
      <c r="P167" s="75"/>
      <c r="Q167" s="75"/>
      <c r="R167" s="75"/>
      <c r="S167" s="290"/>
      <c r="T167" s="291"/>
      <c r="U167" s="291"/>
      <c r="V167" s="292"/>
      <c r="W167" s="292"/>
      <c r="AB167" s="117">
        <f t="shared" si="207"/>
        <v>115</v>
      </c>
      <c r="AC167" s="117">
        <f t="shared" si="208"/>
        <v>2108</v>
      </c>
      <c r="AD167" s="299">
        <f>IF($C$20="NEIN",$C$21,IF($C$22="JA",'HISTORISCHE RENDITEN'!E91,'HISTORISCHE RENDITEN'!D91))</f>
        <v>0.24100000000000002</v>
      </c>
      <c r="AE167" s="129">
        <f t="shared" si="278"/>
        <v>115</v>
      </c>
      <c r="AF167" s="120">
        <f t="shared" si="280"/>
        <v>2108</v>
      </c>
      <c r="AG167" s="122">
        <f t="shared" si="281"/>
        <v>0</v>
      </c>
      <c r="AH167" s="124">
        <f t="shared" si="282"/>
        <v>430891.77838569693</v>
      </c>
      <c r="AI167" s="296">
        <f t="shared" si="283"/>
        <v>-2862689.3455247791</v>
      </c>
      <c r="AJ167" s="123">
        <f t="shared" si="233"/>
        <v>0</v>
      </c>
      <c r="AK167" s="124">
        <f t="shared" si="284"/>
        <v>-3552597.477796251</v>
      </c>
      <c r="AL167" s="122">
        <f t="shared" si="285"/>
        <v>-689908.1322714719</v>
      </c>
      <c r="AM167" s="122" t="b">
        <f>IF($C$25="Ausschütter",0,IF(AL167&gt;=0,(AI167+AJ167)*$C$48*0.7))</f>
        <v>0</v>
      </c>
      <c r="AN167" s="122">
        <f t="shared" si="177"/>
        <v>0</v>
      </c>
      <c r="AO167" s="122">
        <f t="shared" si="212"/>
        <v>0</v>
      </c>
      <c r="AP167" s="122">
        <f t="shared" si="286"/>
        <v>20398.101750018202</v>
      </c>
      <c r="AQ167" s="122">
        <f>IF($C$25="AUSSCHÜTTER",0,IF(AO167*$C$46*$C$49&lt;=$C$47,0,AO167*$C$46*$C$49))</f>
        <v>0</v>
      </c>
      <c r="AR167" s="122">
        <f>IF(AO166*$C$49&gt;$C$47,(AN167)*$C$49*$C$46,IF((AO166+AN167)*$C$49&gt;$C$47,((AO166+AN167)*$C$49-$C$47)*$C$46,0))</f>
        <v>0</v>
      </c>
      <c r="AS167" s="122">
        <f t="shared" si="287"/>
        <v>0</v>
      </c>
      <c r="AT167" s="122">
        <f t="shared" si="288"/>
        <v>430891.77838569693</v>
      </c>
      <c r="AU167" s="122">
        <f t="shared" si="289"/>
        <v>0</v>
      </c>
      <c r="AV167" s="122">
        <f t="shared" si="290"/>
        <v>-3552597.477796251</v>
      </c>
      <c r="AW167" s="122">
        <f t="shared" si="214"/>
        <v>0</v>
      </c>
      <c r="AX167" s="130">
        <f t="shared" si="215"/>
        <v>0</v>
      </c>
      <c r="AY167" s="82">
        <f>IF(AF167&lt;$C$11,$C$15*(1+$C$19)^(AF167-$C$10),0)</f>
        <v>0</v>
      </c>
      <c r="AZ167" s="82">
        <f>$C$14*(1+$C$37)^(AF167-$C$10)</f>
        <v>154258.3899586226</v>
      </c>
      <c r="BA167" s="165">
        <f>IF(AF167&lt;$C$11,0,MAX($C$38*AI167,AZ167))</f>
        <v>154258.3899586226</v>
      </c>
      <c r="BB167" s="82">
        <f>IF(AF167&lt;$C$11,0,MAX($C$38*AI167,AZ167))</f>
        <v>154258.3899586226</v>
      </c>
      <c r="BC167" s="136">
        <f>IF($C$39="JA",CT167,DG167)</f>
        <v>40685.650351586708</v>
      </c>
      <c r="BD167" s="82">
        <f t="shared" si="178"/>
        <v>0</v>
      </c>
      <c r="BE167" s="82">
        <f>IF(AF167&lt;($C$8+$C$30),0,$C$29*12*(1-$C$31))</f>
        <v>0</v>
      </c>
      <c r="BF167" s="82">
        <f>IF(AF167&lt;($C$8+$C$34),0,$C$33*12*(1-$C$35))</f>
        <v>0</v>
      </c>
      <c r="BG167" s="82">
        <f>IF(AF167&lt;$C$11,0,IF(AI167&lt;0,$C$42*(1+$C$44)^(AF167-$C$10),IF(((AL167+BE167+BF167)*$C$41)&lt;$C$42*(1+$C$44)^(AF167-$C$10),$C$42*(1+$C$44)^(AF167-$C$10),IF(((AL167+BE167+BF167)*$C$41)&lt;$C$43*(1+$C$44)^(AF167-$C$10),(AL167+BE167+BF167)*$C$41,IF(((AL167+BE167+BF167+BB167)*$C$41)&lt;$C$43*(1+$C$44)^(AF167-$C$10),((AL167+BE167+BF167+BB167)*$C$41),$C$43*(1+$C$44)^(AF167-$C$10))))))</f>
        <v>8765.1008501179658</v>
      </c>
      <c r="BH167" s="82">
        <f t="shared" si="238"/>
        <v>203709.14116032727</v>
      </c>
      <c r="BI167" s="242">
        <f t="shared" si="291"/>
        <v>-3552597.477796251</v>
      </c>
      <c r="BJ167" s="217">
        <f t="shared" si="292"/>
        <v>-3756306.6189565784</v>
      </c>
      <c r="BK167" s="118"/>
      <c r="BL167" s="219">
        <f t="shared" si="293"/>
        <v>71</v>
      </c>
      <c r="BM167" s="220">
        <f t="shared" si="294"/>
        <v>88</v>
      </c>
      <c r="BN167" s="220">
        <f t="shared" si="295"/>
        <v>0</v>
      </c>
      <c r="BO167" s="221">
        <f t="shared" si="296"/>
        <v>0</v>
      </c>
      <c r="BP167" s="221">
        <f t="shared" si="297"/>
        <v>0</v>
      </c>
      <c r="BQ167" s="222">
        <f t="shared" si="298"/>
        <v>0</v>
      </c>
      <c r="BR167" s="223">
        <f>IF(BM167&lt;$C$11-$C$10+1,0,IF(BL167&lt;=$C$13,VLOOKUP(BL167,$BN$80:$BQ$156,2,FALSE)-BS167,0))</f>
        <v>0</v>
      </c>
      <c r="BS167" s="223">
        <f>IF(BM167&lt;$C$11-$C$10+1,0,IF(BL167&lt;=$C$13,VLOOKUP(BL167,$BN$80:$BQ$156,3,FALSE),0))</f>
        <v>0</v>
      </c>
      <c r="BT167" s="222">
        <f>IF(BM167&lt;$C$11-$C$10+1,0,IF(BL167&lt;=$C$13,VLOOKUP(BL167,$BN$80:$BQ$156,4,FALSE),0))</f>
        <v>0</v>
      </c>
      <c r="BU167" s="223">
        <f t="shared" si="299"/>
        <v>0</v>
      </c>
      <c r="BV167" s="223">
        <f t="shared" si="300"/>
        <v>0</v>
      </c>
      <c r="BW167" s="223">
        <f t="shared" si="301"/>
        <v>0</v>
      </c>
      <c r="BX167" s="223">
        <f>IF(AND(BS167&lt;=0,BN167=0),MIN((MAX($BZ$80:$BZ$156)-SUM($BX$80:BX166)),CA167),IF(BS167&lt;CA167,BS167,CA167))</f>
        <v>0</v>
      </c>
      <c r="BY167" s="222">
        <f>IF(BN167&gt;0,0,IF(AND(BN167=0,BT167&lt;=0),100%,((BW166*(AVERAGE($BT$80:BT166))+(BR167*BT167))/(BR167+BW166+BS167+BV166))))</f>
        <v>1</v>
      </c>
      <c r="BZ167" s="139">
        <f t="shared" si="302"/>
        <v>430891.77838569693</v>
      </c>
      <c r="CA167" s="122">
        <f t="shared" si="303"/>
        <v>154258.3899586226</v>
      </c>
      <c r="CB167" s="181">
        <f t="shared" si="304"/>
        <v>1</v>
      </c>
      <c r="CC167" s="122">
        <f t="shared" si="305"/>
        <v>5416836.5377261667</v>
      </c>
      <c r="CD167" s="182">
        <f t="shared" si="306"/>
        <v>0</v>
      </c>
      <c r="CE167" s="122">
        <f t="shared" si="307"/>
        <v>430891.77838569693</v>
      </c>
      <c r="CF167" s="122">
        <f t="shared" si="308"/>
        <v>0</v>
      </c>
      <c r="CG167" s="122" t="str">
        <f t="shared" si="309"/>
        <v/>
      </c>
      <c r="CH167" s="140">
        <f t="shared" si="310"/>
        <v>1</v>
      </c>
      <c r="CI167" s="142">
        <f t="shared" si="311"/>
        <v>9984</v>
      </c>
      <c r="CJ167" s="134">
        <f>CI167*$C$57</f>
        <v>0</v>
      </c>
      <c r="CK167" s="142">
        <f t="shared" si="312"/>
        <v>14926</v>
      </c>
      <c r="CL167" s="134">
        <f>CK167*$C$57</f>
        <v>0</v>
      </c>
      <c r="CM167" s="142">
        <f t="shared" si="313"/>
        <v>58596</v>
      </c>
      <c r="CN167" s="134">
        <f>CM167*$C$57</f>
        <v>0</v>
      </c>
      <c r="CO167" s="132">
        <f t="shared" si="314"/>
        <v>154258.3899586226</v>
      </c>
      <c r="CP167" s="140">
        <f t="shared" si="315"/>
        <v>0.42</v>
      </c>
      <c r="CQ167" s="121" t="str">
        <f>IF($C$50="NEIN","NEIN",IF(CS167&lt;CR167,"JA","NEIN"))</f>
        <v>NEIN</v>
      </c>
      <c r="CR167" s="121">
        <f>CO167*$C$46</f>
        <v>40685.650351586708</v>
      </c>
      <c r="CS167" s="121">
        <f t="shared" si="316"/>
        <v>55520.993782621495</v>
      </c>
      <c r="CT167" s="201">
        <f>IF($C$50="NEIN",CR167,IF(CQ167="NEIN",CR167,CS167))</f>
        <v>40685.650351586708</v>
      </c>
      <c r="CU167" s="149"/>
      <c r="CV167" s="202">
        <f t="shared" si="317"/>
        <v>9984</v>
      </c>
      <c r="CW167" s="134">
        <f>CV167*$C$57</f>
        <v>0</v>
      </c>
      <c r="CX167" s="142">
        <f t="shared" si="318"/>
        <v>14926</v>
      </c>
      <c r="CY167" s="134">
        <f>CX167*$C$57</f>
        <v>0</v>
      </c>
      <c r="CZ167" s="142">
        <f t="shared" si="319"/>
        <v>58596</v>
      </c>
      <c r="DA167" s="143">
        <f>CZ167*$C$57</f>
        <v>0</v>
      </c>
      <c r="DB167" s="165">
        <f t="shared" si="320"/>
        <v>154258.3899586226</v>
      </c>
      <c r="DC167" s="140">
        <f t="shared" si="321"/>
        <v>0.42</v>
      </c>
      <c r="DD167" s="121" t="str">
        <f>IF($C$50="NEIN","NEIN",IF(DF167&lt;DE167,"JA","NEIN"))</f>
        <v>NEIN</v>
      </c>
      <c r="DE167" s="121">
        <f>DB167*$C$46</f>
        <v>40685.650351586708</v>
      </c>
      <c r="DF167" s="121">
        <f t="shared" si="322"/>
        <v>55520.993782621495</v>
      </c>
      <c r="DG167" s="201">
        <f>IF($C$50="NEIN",DE167,IF(DD167="NEIN",DE167,DF167))</f>
        <v>40685.650351586708</v>
      </c>
      <c r="DH167" s="97"/>
      <c r="DI167" s="125"/>
      <c r="DN167" s="75"/>
      <c r="DO167" s="28">
        <f t="shared" si="247"/>
        <v>2108</v>
      </c>
      <c r="DP167" s="17">
        <f>IF($C$13+$C$10&gt;=DO167,-#REF!,IF(DO167=$C$13+$C$10+1,$EK$93,0))</f>
        <v>0</v>
      </c>
      <c r="DQ167" s="17" t="e">
        <f t="shared" si="248"/>
        <v>#REF!</v>
      </c>
      <c r="DR167" s="17" t="e">
        <f t="shared" si="249"/>
        <v>#REF!</v>
      </c>
      <c r="DS167" s="17" t="e">
        <f>#REF!+EB166</f>
        <v>#REF!</v>
      </c>
      <c r="DT167" s="17" t="e">
        <f t="shared" si="191"/>
        <v>#REF!</v>
      </c>
      <c r="DU167" s="17" t="e">
        <f t="shared" si="250"/>
        <v>#REF!</v>
      </c>
      <c r="DV167" s="33" t="e">
        <f t="shared" si="192"/>
        <v>#REF!</v>
      </c>
      <c r="DW167" s="32" t="e">
        <f t="shared" si="193"/>
        <v>#REF!</v>
      </c>
      <c r="DX167" s="17" t="e">
        <f t="shared" si="251"/>
        <v>#REF!</v>
      </c>
      <c r="DY167" s="17" t="e">
        <f t="shared" si="252"/>
        <v>#REF!</v>
      </c>
      <c r="DZ167" s="17" t="e">
        <f t="shared" si="194"/>
        <v>#REF!</v>
      </c>
      <c r="EA167" s="17" t="e">
        <f t="shared" si="224"/>
        <v>#REF!</v>
      </c>
      <c r="EB167" s="15" t="e">
        <f t="shared" si="225"/>
        <v>#REF!</v>
      </c>
      <c r="EC167" s="15">
        <f>IF(DP167=0,EC166,IF(DO167&lt;=$EK$88+$C$10,ABS(DP167)+EC166,EC166))</f>
        <v>430891.77838569693</v>
      </c>
      <c r="ED167" s="15" t="e">
        <f t="shared" si="253"/>
        <v>#REF!</v>
      </c>
      <c r="EE167" s="16" t="e">
        <f t="shared" si="254"/>
        <v>#REF!</v>
      </c>
      <c r="EF167" s="15" t="e">
        <f>IF(DS167&lt;=0,0,DS167-#REF!)</f>
        <v>#REF!</v>
      </c>
      <c r="EG167" s="15" t="e">
        <f t="shared" si="255"/>
        <v>#REF!</v>
      </c>
      <c r="EH167" s="16"/>
      <c r="EI167" s="16"/>
      <c r="EJ167"/>
      <c r="EK167"/>
      <c r="EL167"/>
      <c r="EM167" s="28">
        <f t="shared" si="256"/>
        <v>2108</v>
      </c>
      <c r="EN167" s="29">
        <f>IF($C$13+$C$10&gt;=EM167,-(#REF!),IF(EM167=$C$13+$C$10+1,$FB$93,0))</f>
        <v>0</v>
      </c>
      <c r="EO167" s="30" t="e">
        <f t="shared" si="257"/>
        <v>#REF!</v>
      </c>
      <c r="EP167" s="30" t="e">
        <f t="shared" si="258"/>
        <v>#REF!</v>
      </c>
      <c r="EQ167" s="30" t="e">
        <f>#REF!-EV166</f>
        <v>#REF!</v>
      </c>
      <c r="ER167" s="25" t="e">
        <f t="shared" si="196"/>
        <v>#REF!</v>
      </c>
      <c r="ES167" s="30" t="e">
        <f t="shared" si="259"/>
        <v>#REF!</v>
      </c>
      <c r="ET167" s="26" t="e">
        <f t="shared" si="197"/>
        <v>#REF!</v>
      </c>
      <c r="EU167" s="30" t="e">
        <f t="shared" si="260"/>
        <v>#REF!</v>
      </c>
      <c r="EV167" s="25" t="e">
        <f t="shared" si="198"/>
        <v>#REF!</v>
      </c>
      <c r="EW167" s="31" t="e">
        <f t="shared" si="261"/>
        <v>#REF!</v>
      </c>
      <c r="EX167" s="27">
        <f>IF(EM167=0,EX166,IF(EM167&lt;=$FB$88+$C$10,ABS(EN167)+EX166,EX166))</f>
        <v>430891.77838569693</v>
      </c>
      <c r="EY167" s="15"/>
      <c r="EZ167"/>
      <c r="FA167"/>
      <c r="FB167"/>
      <c r="FJ167" s="28">
        <f t="shared" si="262"/>
        <v>2108</v>
      </c>
      <c r="FK167" s="65">
        <f>IF($C$13+$C$10&gt;=FJ167,-#REF!,IF(FJ167=$C$13+$C$10+1,$EK$93,0))</f>
        <v>0</v>
      </c>
      <c r="FL167" s="65">
        <f t="shared" si="263"/>
        <v>74118.803999999975</v>
      </c>
      <c r="FM167" s="65">
        <f t="shared" si="264"/>
        <v>4388392.9038761519</v>
      </c>
      <c r="FN167" s="65">
        <f>IF(FY166&gt;=$GF$97,0,#REF!+FW166)</f>
        <v>0</v>
      </c>
      <c r="FO167" s="65">
        <f t="shared" si="199"/>
        <v>4695580.407147483</v>
      </c>
      <c r="FP167" s="65">
        <f t="shared" si="265"/>
        <v>307187.50327133108</v>
      </c>
      <c r="FQ167" s="59">
        <f t="shared" si="200"/>
        <v>2150.312522899314</v>
      </c>
      <c r="FR167" s="60">
        <f t="shared" si="201"/>
        <v>93911.608142949655</v>
      </c>
      <c r="FS167" s="65">
        <f t="shared" si="266"/>
        <v>0</v>
      </c>
      <c r="FT167" s="65">
        <f t="shared" si="267"/>
        <v>0</v>
      </c>
      <c r="FU167" s="65">
        <f t="shared" si="202"/>
        <v>0</v>
      </c>
      <c r="FV167" s="65">
        <f t="shared" si="228"/>
        <v>17127.166903392081</v>
      </c>
      <c r="FW167" s="61">
        <f t="shared" si="229"/>
        <v>76784.441239557578</v>
      </c>
      <c r="FX167" s="61">
        <f>IF(AND(FJ167&lt;=$GF$88+$C$10,FV166&lt;=0,FN167&gt;0),(FJ167-$C$10+1)*#REF!+$GF$80,FX166)</f>
        <v>73074.599999999977</v>
      </c>
      <c r="FY167" s="62">
        <f t="shared" si="230"/>
        <v>81.070069538158251</v>
      </c>
      <c r="FZ167" s="63">
        <f t="shared" si="268"/>
        <v>4695580.407147483</v>
      </c>
      <c r="GA167" s="64">
        <f t="shared" si="269"/>
        <v>89559.038854615355</v>
      </c>
      <c r="GB167" s="64">
        <f t="shared" si="270"/>
        <v>1899700.9410977268</v>
      </c>
      <c r="GC167" s="66">
        <f>IF(FN167&lt;=0,0,FN167-#REF!)</f>
        <v>0</v>
      </c>
      <c r="GD167" s="64">
        <f t="shared" si="271"/>
        <v>1580.6039999999994</v>
      </c>
      <c r="GE167"/>
      <c r="GF167"/>
      <c r="GI167" s="28">
        <f t="shared" si="272"/>
        <v>2108</v>
      </c>
      <c r="GJ167" s="9">
        <f>IF($GX$88+$C$10&gt;=GI167,-#REF!,IF(GI167=$GX$88+$C$10+1,$FB$93,0))</f>
        <v>0</v>
      </c>
      <c r="GK167" s="5" t="e">
        <f t="shared" si="273"/>
        <v>#REF!</v>
      </c>
      <c r="GL167" s="5" t="e">
        <f t="shared" si="274"/>
        <v>#REF!</v>
      </c>
      <c r="GM167" s="35" t="e">
        <f>IF(FX166=$GF$94,#REF!-GR166+FW166,0)</f>
        <v>#REF!</v>
      </c>
      <c r="GN167" s="4" t="e">
        <f t="shared" si="204"/>
        <v>#REF!</v>
      </c>
      <c r="GO167" s="5" t="e">
        <f t="shared" si="275"/>
        <v>#REF!</v>
      </c>
      <c r="GP167" s="5" t="e">
        <f t="shared" si="205"/>
        <v>#REF!</v>
      </c>
      <c r="GQ167" s="5" t="e">
        <f t="shared" si="276"/>
        <v>#REF!</v>
      </c>
      <c r="GR167" s="4" t="e">
        <f t="shared" si="206"/>
        <v>#REF!</v>
      </c>
      <c r="GS167" s="7" t="e">
        <f t="shared" si="277"/>
        <v>#REF!</v>
      </c>
      <c r="GT167" s="107" t="e">
        <f>IF($DG$62=0,EX167,IF(GI167-$C$10+1&lt;=$GF$98,0,#REF!-FX167))</f>
        <v>#REF!</v>
      </c>
      <c r="GU167"/>
      <c r="GV167"/>
      <c r="GW167"/>
      <c r="GX167"/>
    </row>
    <row r="168" spans="2:206" ht="16.149999999999999" thickBot="1" x14ac:dyDescent="0.55000000000000004">
      <c r="B168" s="333"/>
      <c r="C168" s="75"/>
      <c r="D168" s="75"/>
      <c r="F168" s="75"/>
      <c r="G168" s="75"/>
      <c r="H168" s="75"/>
      <c r="I168" s="75"/>
      <c r="J168" s="75"/>
      <c r="K168" s="75"/>
      <c r="L168" s="75"/>
      <c r="M168" s="75"/>
      <c r="O168" s="75"/>
      <c r="P168" s="75"/>
      <c r="Q168" s="75"/>
      <c r="R168" s="75"/>
      <c r="S168" s="290"/>
      <c r="T168" s="291"/>
      <c r="U168" s="291"/>
      <c r="V168" s="292"/>
      <c r="W168" s="292"/>
      <c r="AB168" s="117">
        <f t="shared" si="207"/>
        <v>116</v>
      </c>
      <c r="AC168" s="117">
        <f t="shared" si="208"/>
        <v>2109</v>
      </c>
      <c r="AD168" s="299">
        <f>IF($C$20="NEIN",$C$21,IF($C$22="JA",'HISTORISCHE RENDITEN'!E92,'HISTORISCHE RENDITEN'!D92))</f>
        <v>2.9300000000000003E-2</v>
      </c>
      <c r="AE168" s="129">
        <f t="shared" si="278"/>
        <v>116</v>
      </c>
      <c r="AF168" s="120">
        <f t="shared" si="280"/>
        <v>2109</v>
      </c>
      <c r="AG168" s="122">
        <f t="shared" si="281"/>
        <v>0</v>
      </c>
      <c r="AH168" s="124">
        <f t="shared" si="282"/>
        <v>430891.77838569693</v>
      </c>
      <c r="AI168" s="296">
        <f t="shared" si="283"/>
        <v>-3756306.6189565784</v>
      </c>
      <c r="AJ168" s="123">
        <f t="shared" si="233"/>
        <v>0</v>
      </c>
      <c r="AK168" s="124">
        <f t="shared" si="284"/>
        <v>-3866366.4028920066</v>
      </c>
      <c r="AL168" s="122">
        <f t="shared" si="285"/>
        <v>-110059.78393542813</v>
      </c>
      <c r="AM168" s="122" t="b">
        <f>IF($C$25="Ausschütter",0,IF(AL168&gt;=0,(AI168+AJ168)*$C$48*0.7))</f>
        <v>0</v>
      </c>
      <c r="AN168" s="122">
        <f t="shared" si="177"/>
        <v>0</v>
      </c>
      <c r="AO168" s="122">
        <f t="shared" si="212"/>
        <v>0</v>
      </c>
      <c r="AP168" s="122">
        <f t="shared" si="286"/>
        <v>20398.101750018202</v>
      </c>
      <c r="AQ168" s="122">
        <f>IF($C$25="AUSSCHÜTTER",0,IF(AO168*$C$46*$C$49&lt;=$C$47,0,AO168*$C$46*$C$49))</f>
        <v>0</v>
      </c>
      <c r="AR168" s="122">
        <f>IF(AO167*$C$49&gt;$C$47,(AN168)*$C$49*$C$46,IF((AO167+AN168)*$C$49&gt;$C$47,((AO167+AN168)*$C$49-$C$47)*$C$46,0))</f>
        <v>0</v>
      </c>
      <c r="AS168" s="122">
        <f t="shared" si="287"/>
        <v>0</v>
      </c>
      <c r="AT168" s="122">
        <f t="shared" si="288"/>
        <v>430891.77838569693</v>
      </c>
      <c r="AU168" s="122">
        <f t="shared" si="289"/>
        <v>0</v>
      </c>
      <c r="AV168" s="122">
        <f t="shared" si="290"/>
        <v>-3866366.4028920066</v>
      </c>
      <c r="AW168" s="122">
        <f t="shared" si="214"/>
        <v>0</v>
      </c>
      <c r="AX168" s="130">
        <f t="shared" si="215"/>
        <v>0</v>
      </c>
      <c r="AY168" s="82">
        <f>IF(AF168&lt;$C$11,$C$15*(1+$C$19)^(AF168-$C$10),0)</f>
        <v>0</v>
      </c>
      <c r="AZ168" s="82">
        <f>$C$14*(1+$C$37)^(AF168-$C$10)</f>
        <v>158114.84970758815</v>
      </c>
      <c r="BA168" s="165">
        <f>IF(AF168&lt;$C$11,0,MAX($C$38*AI168,AZ168))</f>
        <v>158114.84970758815</v>
      </c>
      <c r="BB168" s="82">
        <f>IF(AF168&lt;$C$11,0,MAX($C$38*AI168,AZ168))</f>
        <v>158114.84970758815</v>
      </c>
      <c r="BC168" s="136">
        <f>IF($C$39="JA",CT168,DG168)</f>
        <v>41702.791610376371</v>
      </c>
      <c r="BD168" s="82">
        <f t="shared" si="178"/>
        <v>0</v>
      </c>
      <c r="BE168" s="82">
        <f>IF(AF168&lt;($C$8+$C$30),0,$C$29*12*(1-$C$31))</f>
        <v>0</v>
      </c>
      <c r="BF168" s="82">
        <f>IF(AF168&lt;($C$8+$C$34),0,$C$33*12*(1-$C$35))</f>
        <v>0</v>
      </c>
      <c r="BG168" s="82">
        <f>IF(AF168&lt;$C$11,0,IF(AI168&lt;0,$C$42*(1+$C$44)^(AF168-$C$10),IF(((AL168+BE168+BF168)*$C$41)&lt;$C$42*(1+$C$44)^(AF168-$C$10),$C$42*(1+$C$44)^(AF168-$C$10),IF(((AL168+BE168+BF168)*$C$41)&lt;$C$43*(1+$C$44)^(AF168-$C$10),(AL168+BE168+BF168)*$C$41,IF(((AL168+BE168+BF168+BB168)*$C$41)&lt;$C$43*(1+$C$44)^(AF168-$C$10),((AL168+BE168+BF168+BB168)*$C$41),$C$43*(1+$C$44)^(AF168-$C$10))))))</f>
        <v>8896.5773628697334</v>
      </c>
      <c r="BH168" s="82">
        <f t="shared" si="238"/>
        <v>208714.21868083425</v>
      </c>
      <c r="BI168" s="242">
        <f t="shared" si="291"/>
        <v>-3866366.4028920066</v>
      </c>
      <c r="BJ168" s="217">
        <f t="shared" si="292"/>
        <v>-4075080.621572841</v>
      </c>
      <c r="BK168" s="118"/>
      <c r="BL168" s="219">
        <f t="shared" si="293"/>
        <v>72</v>
      </c>
      <c r="BM168" s="220">
        <f t="shared" si="294"/>
        <v>89</v>
      </c>
      <c r="BN168" s="220">
        <f t="shared" si="295"/>
        <v>0</v>
      </c>
      <c r="BO168" s="221">
        <f t="shared" si="296"/>
        <v>0</v>
      </c>
      <c r="BP168" s="221">
        <f t="shared" si="297"/>
        <v>0</v>
      </c>
      <c r="BQ168" s="222">
        <f t="shared" si="298"/>
        <v>0</v>
      </c>
      <c r="BR168" s="223">
        <f>IF(BM168&lt;$C$11-$C$10+1,0,IF(BL168&lt;=$C$13,VLOOKUP(BL168,$BN$80:$BQ$156,2,FALSE)-BS168,0))</f>
        <v>0</v>
      </c>
      <c r="BS168" s="223">
        <f>IF(BM168&lt;$C$11-$C$10+1,0,IF(BL168&lt;=$C$13,VLOOKUP(BL168,$BN$80:$BQ$156,3,FALSE),0))</f>
        <v>0</v>
      </c>
      <c r="BT168" s="222">
        <f>IF(BM168&lt;$C$11-$C$10+1,0,IF(BL168&lt;=$C$13,VLOOKUP(BL168,$BN$80:$BQ$156,4,FALSE),0))</f>
        <v>0</v>
      </c>
      <c r="BU168" s="223">
        <f t="shared" si="299"/>
        <v>0</v>
      </c>
      <c r="BV168" s="223">
        <f t="shared" si="300"/>
        <v>0</v>
      </c>
      <c r="BW168" s="223">
        <f t="shared" si="301"/>
        <v>0</v>
      </c>
      <c r="BX168" s="223">
        <f>IF(AND(BS168&lt;=0,BN168=0),MIN((MAX($BZ$80:$BZ$156)-SUM($BX$80:BX167)),CA168),IF(BS168&lt;CA168,BS168,CA168))</f>
        <v>0</v>
      </c>
      <c r="BY168" s="222">
        <f>IF(BN168&gt;0,0,IF(AND(BN168=0,BT168&lt;=0),100%,((BW167*(AVERAGE($BT$80:BT167))+(BR168*BT168))/(BR168+BW167+BS168+BV167))))</f>
        <v>1</v>
      </c>
      <c r="BZ168" s="139">
        <f t="shared" si="302"/>
        <v>430891.77838569693</v>
      </c>
      <c r="CA168" s="122">
        <f t="shared" si="303"/>
        <v>158114.84970758815</v>
      </c>
      <c r="CB168" s="181">
        <f t="shared" si="304"/>
        <v>1</v>
      </c>
      <c r="CC168" s="122">
        <f t="shared" si="305"/>
        <v>5574951.3874337552</v>
      </c>
      <c r="CD168" s="182">
        <f t="shared" si="306"/>
        <v>0</v>
      </c>
      <c r="CE168" s="122">
        <f t="shared" si="307"/>
        <v>430891.77838569693</v>
      </c>
      <c r="CF168" s="122">
        <f t="shared" si="308"/>
        <v>0</v>
      </c>
      <c r="CG168" s="122" t="str">
        <f t="shared" si="309"/>
        <v/>
      </c>
      <c r="CH168" s="140">
        <f t="shared" si="310"/>
        <v>1</v>
      </c>
      <c r="CI168" s="142">
        <f t="shared" si="311"/>
        <v>9984</v>
      </c>
      <c r="CJ168" s="134">
        <f>CI168*$C$57</f>
        <v>0</v>
      </c>
      <c r="CK168" s="142">
        <f t="shared" si="312"/>
        <v>14926</v>
      </c>
      <c r="CL168" s="134">
        <f>CK168*$C$57</f>
        <v>0</v>
      </c>
      <c r="CM168" s="142">
        <f t="shared" si="313"/>
        <v>58596</v>
      </c>
      <c r="CN168" s="134">
        <f>CM168*$C$57</f>
        <v>0</v>
      </c>
      <c r="CO168" s="132">
        <f t="shared" si="314"/>
        <v>158114.84970758815</v>
      </c>
      <c r="CP168" s="140">
        <f t="shared" si="315"/>
        <v>0.42</v>
      </c>
      <c r="CQ168" s="121" t="str">
        <f>IF($C$50="NEIN","NEIN",IF(CS168&lt;CR168,"JA","NEIN"))</f>
        <v>NEIN</v>
      </c>
      <c r="CR168" s="121">
        <f>CO168*$C$46</f>
        <v>41702.791610376371</v>
      </c>
      <c r="CS168" s="121">
        <f t="shared" si="316"/>
        <v>57140.706877187025</v>
      </c>
      <c r="CT168" s="201">
        <f>IF($C$50="NEIN",CR168,IF(CQ168="NEIN",CR168,CS168))</f>
        <v>41702.791610376371</v>
      </c>
      <c r="CU168" s="149"/>
      <c r="CV168" s="202">
        <f t="shared" si="317"/>
        <v>9984</v>
      </c>
      <c r="CW168" s="134">
        <f>CV168*$C$57</f>
        <v>0</v>
      </c>
      <c r="CX168" s="142">
        <f t="shared" si="318"/>
        <v>14926</v>
      </c>
      <c r="CY168" s="134">
        <f>CX168*$C$57</f>
        <v>0</v>
      </c>
      <c r="CZ168" s="142">
        <f t="shared" si="319"/>
        <v>58596</v>
      </c>
      <c r="DA168" s="143">
        <f>CZ168*$C$57</f>
        <v>0</v>
      </c>
      <c r="DB168" s="165">
        <f t="shared" si="320"/>
        <v>158114.84970758815</v>
      </c>
      <c r="DC168" s="140">
        <f t="shared" si="321"/>
        <v>0.42</v>
      </c>
      <c r="DD168" s="121" t="str">
        <f>IF($C$50="NEIN","NEIN",IF(DF168&lt;DE168,"JA","NEIN"))</f>
        <v>NEIN</v>
      </c>
      <c r="DE168" s="121">
        <f>DB168*$C$46</f>
        <v>41702.791610376371</v>
      </c>
      <c r="DF168" s="121">
        <f t="shared" si="322"/>
        <v>57140.706877187025</v>
      </c>
      <c r="DG168" s="201">
        <f>IF($C$50="NEIN",DE168,IF(DD168="NEIN",DE168,DF168))</f>
        <v>41702.791610376371</v>
      </c>
      <c r="DH168" s="97"/>
      <c r="DI168" s="125"/>
      <c r="DN168" s="75"/>
      <c r="DO168" s="28">
        <f t="shared" si="247"/>
        <v>2109</v>
      </c>
      <c r="DP168" s="17">
        <f>IF($C$13+$C$10&gt;=DO168,-#REF!,IF(DO168=$C$13+$C$10+1,$EK$93,0))</f>
        <v>0</v>
      </c>
      <c r="DQ168" s="17" t="e">
        <f t="shared" si="248"/>
        <v>#REF!</v>
      </c>
      <c r="DR168" s="17" t="e">
        <f t="shared" si="249"/>
        <v>#REF!</v>
      </c>
      <c r="DS168" s="17" t="e">
        <f>#REF!+EB167</f>
        <v>#REF!</v>
      </c>
      <c r="DT168" s="17" t="e">
        <f t="shared" si="191"/>
        <v>#REF!</v>
      </c>
      <c r="DU168" s="17" t="e">
        <f t="shared" si="250"/>
        <v>#REF!</v>
      </c>
      <c r="DV168" s="33" t="e">
        <f t="shared" si="192"/>
        <v>#REF!</v>
      </c>
      <c r="DW168" s="32" t="e">
        <f t="shared" si="193"/>
        <v>#REF!</v>
      </c>
      <c r="DX168" s="17" t="e">
        <f t="shared" si="251"/>
        <v>#REF!</v>
      </c>
      <c r="DY168" s="17" t="e">
        <f t="shared" si="252"/>
        <v>#REF!</v>
      </c>
      <c r="DZ168" s="17" t="e">
        <f t="shared" si="194"/>
        <v>#REF!</v>
      </c>
      <c r="EA168" s="17" t="e">
        <f t="shared" si="224"/>
        <v>#REF!</v>
      </c>
      <c r="EB168" s="15" t="e">
        <f t="shared" si="225"/>
        <v>#REF!</v>
      </c>
      <c r="EC168" s="15">
        <f>IF(DP168=0,EC167,IF(DO168&lt;=$EK$88+$C$10,ABS(DP168)+EC167,EC167))</f>
        <v>430891.77838569693</v>
      </c>
      <c r="ED168" s="15" t="e">
        <f t="shared" si="253"/>
        <v>#REF!</v>
      </c>
      <c r="EE168" s="16" t="e">
        <f t="shared" si="254"/>
        <v>#REF!</v>
      </c>
      <c r="EF168" s="15" t="e">
        <f>IF(DS168&lt;=0,0,DS168-#REF!)</f>
        <v>#REF!</v>
      </c>
      <c r="EG168" s="15" t="e">
        <f t="shared" si="255"/>
        <v>#REF!</v>
      </c>
      <c r="EH168" s="16"/>
      <c r="EI168" s="16"/>
      <c r="EJ168"/>
      <c r="EK168"/>
      <c r="EL168"/>
      <c r="EM168" s="28">
        <f t="shared" si="256"/>
        <v>2109</v>
      </c>
      <c r="EN168" s="29">
        <f>IF($C$13+$C$10&gt;=EM168,-(#REF!),IF(EM168=$C$13+$C$10+1,$FB$93,0))</f>
        <v>0</v>
      </c>
      <c r="EO168" s="30" t="e">
        <f t="shared" si="257"/>
        <v>#REF!</v>
      </c>
      <c r="EP168" s="30" t="e">
        <f t="shared" si="258"/>
        <v>#REF!</v>
      </c>
      <c r="EQ168" s="30" t="e">
        <f>#REF!-EV167</f>
        <v>#REF!</v>
      </c>
      <c r="ER168" s="25" t="e">
        <f t="shared" si="196"/>
        <v>#REF!</v>
      </c>
      <c r="ES168" s="30" t="e">
        <f t="shared" si="259"/>
        <v>#REF!</v>
      </c>
      <c r="ET168" s="26" t="e">
        <f t="shared" si="197"/>
        <v>#REF!</v>
      </c>
      <c r="EU168" s="30" t="e">
        <f t="shared" si="260"/>
        <v>#REF!</v>
      </c>
      <c r="EV168" s="25" t="e">
        <f t="shared" si="198"/>
        <v>#REF!</v>
      </c>
      <c r="EW168" s="31" t="e">
        <f t="shared" si="261"/>
        <v>#REF!</v>
      </c>
      <c r="EX168" s="27">
        <f>IF(EM168=0,EX167,IF(EM168&lt;=$FB$88+$C$10,ABS(EN168)+EX167,EX167))</f>
        <v>430891.77838569693</v>
      </c>
      <c r="EY168" s="15"/>
      <c r="EZ168"/>
      <c r="FA168"/>
      <c r="FB168"/>
      <c r="FJ168" s="28">
        <f t="shared" si="262"/>
        <v>2109</v>
      </c>
      <c r="FK168" s="65">
        <f>IF($C$13+$C$10&gt;=FJ168,-#REF!,IF(FJ168=$C$13+$C$10+1,$EK$93,0))</f>
        <v>0</v>
      </c>
      <c r="FL168" s="65">
        <f t="shared" si="263"/>
        <v>74118.803999999975</v>
      </c>
      <c r="FM168" s="65">
        <f t="shared" si="264"/>
        <v>4601668.7990045333</v>
      </c>
      <c r="FN168" s="65">
        <f>IF(FY167&gt;=$GF$97,0,#REF!+FW167)</f>
        <v>0</v>
      </c>
      <c r="FO168" s="65">
        <f t="shared" si="199"/>
        <v>4923785.6149348505</v>
      </c>
      <c r="FP168" s="65">
        <f t="shared" si="265"/>
        <v>322116.81593031716</v>
      </c>
      <c r="FQ168" s="59">
        <f t="shared" si="200"/>
        <v>2254.8177115122212</v>
      </c>
      <c r="FR168" s="60">
        <f t="shared" si="201"/>
        <v>98475.712298697006</v>
      </c>
      <c r="FS168" s="65">
        <f t="shared" si="266"/>
        <v>0</v>
      </c>
      <c r="FT168" s="65">
        <f t="shared" si="267"/>
        <v>0</v>
      </c>
      <c r="FU168" s="65">
        <f t="shared" si="202"/>
        <v>0</v>
      </c>
      <c r="FV168" s="65">
        <f t="shared" si="228"/>
        <v>17969.814633146932</v>
      </c>
      <c r="FW168" s="61">
        <f t="shared" si="229"/>
        <v>80505.897665550074</v>
      </c>
      <c r="FX168" s="61">
        <f>IF(AND(FJ168&lt;=$GF$88+$C$10,FV167&lt;=0,FN168&gt;0),(FJ168-$C$10+1)*#REF!+$GF$80,FX167)</f>
        <v>73074.599999999977</v>
      </c>
      <c r="FY168" s="62">
        <f t="shared" si="230"/>
        <v>85.058674917712722</v>
      </c>
      <c r="FZ168" s="63">
        <f t="shared" si="268"/>
        <v>4923785.6149348505</v>
      </c>
      <c r="GA168" s="64">
        <f t="shared" si="269"/>
        <v>93911.608142949655</v>
      </c>
      <c r="GB168" s="64">
        <f t="shared" si="270"/>
        <v>1993612.5492406765</v>
      </c>
      <c r="GC168" s="66">
        <f>IF(FN168&lt;=0,0,FN168-#REF!)</f>
        <v>0</v>
      </c>
      <c r="GD168" s="64">
        <f t="shared" si="271"/>
        <v>1580.6039999999994</v>
      </c>
      <c r="GE168"/>
      <c r="GF168"/>
      <c r="GI168" s="28">
        <f t="shared" si="272"/>
        <v>2109</v>
      </c>
      <c r="GJ168" s="9">
        <f>IF($GX$88+$C$10&gt;=GI168,-#REF!,IF(GI168=$GX$88+$C$10+1,$FB$93,0))</f>
        <v>0</v>
      </c>
      <c r="GK168" s="5" t="e">
        <f t="shared" si="273"/>
        <v>#REF!</v>
      </c>
      <c r="GL168" s="5" t="e">
        <f t="shared" si="274"/>
        <v>#REF!</v>
      </c>
      <c r="GM168" s="35" t="e">
        <f>IF(FX167=$GF$94,#REF!-GR167+FW167,0)</f>
        <v>#REF!</v>
      </c>
      <c r="GN168" s="4" t="e">
        <f t="shared" si="204"/>
        <v>#REF!</v>
      </c>
      <c r="GO168" s="5" t="e">
        <f t="shared" si="275"/>
        <v>#REF!</v>
      </c>
      <c r="GP168" s="5" t="e">
        <f t="shared" si="205"/>
        <v>#REF!</v>
      </c>
      <c r="GQ168" s="5" t="e">
        <f t="shared" si="276"/>
        <v>#REF!</v>
      </c>
      <c r="GR168" s="4" t="e">
        <f t="shared" si="206"/>
        <v>#REF!</v>
      </c>
      <c r="GS168" s="7" t="e">
        <f t="shared" si="277"/>
        <v>#REF!</v>
      </c>
      <c r="GT168" s="107" t="e">
        <f>IF($DG$62=0,EX168,IF(GI168-$C$10+1&lt;=$GF$98,0,#REF!-FX168))</f>
        <v>#REF!</v>
      </c>
      <c r="GU168"/>
      <c r="GV168"/>
      <c r="GW168"/>
      <c r="GX168"/>
    </row>
    <row r="169" spans="2:206" ht="16.149999999999999" thickBot="1" x14ac:dyDescent="0.55000000000000004">
      <c r="B169" s="333"/>
      <c r="C169" s="75"/>
      <c r="D169" s="75"/>
      <c r="F169" s="75"/>
      <c r="G169" s="75"/>
      <c r="H169" s="75"/>
      <c r="I169" s="75"/>
      <c r="J169" s="75"/>
      <c r="K169" s="75"/>
      <c r="L169" s="75"/>
      <c r="M169" s="75"/>
      <c r="O169" s="75"/>
      <c r="P169" s="75"/>
      <c r="Q169" s="75"/>
      <c r="R169" s="75"/>
      <c r="S169" s="290"/>
      <c r="T169" s="291"/>
      <c r="U169" s="291"/>
      <c r="V169" s="292"/>
      <c r="W169" s="292"/>
      <c r="AB169" s="117">
        <f t="shared" si="207"/>
        <v>117</v>
      </c>
      <c r="AC169" s="117">
        <f t="shared" si="208"/>
        <v>2110</v>
      </c>
      <c r="AD169" s="299">
        <f>IF($C$20="NEIN",$C$21,IF($C$22="JA",'HISTORISCHE RENDITEN'!E93,'HISTORISCHE RENDITEN'!D93))</f>
        <v>-2.7400000000000001E-2</v>
      </c>
      <c r="AE169" s="129">
        <f t="shared" si="278"/>
        <v>117</v>
      </c>
      <c r="AF169" s="120">
        <f t="shared" si="280"/>
        <v>2110</v>
      </c>
      <c r="AG169" s="122">
        <f t="shared" si="281"/>
        <v>0</v>
      </c>
      <c r="AH169" s="124">
        <f t="shared" si="282"/>
        <v>430891.77838569693</v>
      </c>
      <c r="AI169" s="296">
        <f t="shared" si="283"/>
        <v>-4075080.621572841</v>
      </c>
      <c r="AJ169" s="123">
        <f t="shared" si="233"/>
        <v>0</v>
      </c>
      <c r="AK169" s="124">
        <f t="shared" si="284"/>
        <v>-3963423.4125417452</v>
      </c>
      <c r="AL169" s="122">
        <f t="shared" si="285"/>
        <v>111657.20903109573</v>
      </c>
      <c r="AM169" s="122">
        <f>IF($C$25="Ausschütter",0,IF(AL169&gt;=0,(AI169+AJ169)*$C$48*0.7))</f>
        <v>-1996.7895045706919</v>
      </c>
      <c r="AN169" s="122">
        <f t="shared" si="177"/>
        <v>0</v>
      </c>
      <c r="AO169" s="122">
        <f t="shared" si="212"/>
        <v>-1996.7895045706919</v>
      </c>
      <c r="AP169" s="122">
        <f t="shared" si="286"/>
        <v>18401.312245447509</v>
      </c>
      <c r="AQ169" s="122">
        <f>IF($C$25="AUSSCHÜTTER",0,IF(AO169*$C$46*$C$49&lt;=$C$47,0,AO169*$C$46*$C$49))</f>
        <v>0</v>
      </c>
      <c r="AR169" s="122">
        <f>IF(AO168*$C$49&gt;$C$47,(AN169)*$C$49*$C$46,IF((AO168+AN169)*$C$49&gt;$C$47,((AO168+AN169)*$C$49-$C$47)*$C$46,0))</f>
        <v>0</v>
      </c>
      <c r="AS169" s="122">
        <f t="shared" si="287"/>
        <v>0</v>
      </c>
      <c r="AT169" s="122">
        <f t="shared" si="288"/>
        <v>430891.77838569693</v>
      </c>
      <c r="AU169" s="122">
        <f t="shared" si="289"/>
        <v>0</v>
      </c>
      <c r="AV169" s="122">
        <f t="shared" si="290"/>
        <v>-3963423.4125417452</v>
      </c>
      <c r="AW169" s="122">
        <f t="shared" si="214"/>
        <v>0</v>
      </c>
      <c r="AX169" s="130">
        <f t="shared" si="215"/>
        <v>0</v>
      </c>
      <c r="AY169" s="82">
        <f>IF(AF169&lt;$C$11,$C$15*(1+$C$19)^(AF169-$C$10),0)</f>
        <v>0</v>
      </c>
      <c r="AZ169" s="82">
        <f>$C$14*(1+$C$37)^(AF169-$C$10)</f>
        <v>162067.72095027781</v>
      </c>
      <c r="BA169" s="165">
        <f>IF(AF169&lt;$C$11,0,MAX($C$38*AI169,AZ169))</f>
        <v>162067.72095027781</v>
      </c>
      <c r="BB169" s="82">
        <f>IF(AF169&lt;$C$11,0,MAX($C$38*AI169,AZ169))</f>
        <v>162067.72095027781</v>
      </c>
      <c r="BC169" s="136">
        <f>IF($C$39="JA",CT169,DG169)</f>
        <v>42745.361400635767</v>
      </c>
      <c r="BD169" s="82">
        <f t="shared" si="178"/>
        <v>0</v>
      </c>
      <c r="BE169" s="82">
        <f>IF(AF169&lt;($C$8+$C$30),0,$C$29*12*(1-$C$31))</f>
        <v>0</v>
      </c>
      <c r="BF169" s="82">
        <f>IF(AF169&lt;($C$8+$C$34),0,$C$33*12*(1-$C$35))</f>
        <v>0</v>
      </c>
      <c r="BG169" s="82">
        <f>IF(AF169&lt;$C$11,0,IF(AI169&lt;0,$C$42*(1+$C$44)^(AF169-$C$10),IF(((AL169+BE169+BF169)*$C$41)&lt;$C$42*(1+$C$44)^(AF169-$C$10),$C$42*(1+$C$44)^(AF169-$C$10),IF(((AL169+BE169+BF169)*$C$41)&lt;$C$43*(1+$C$44)^(AF169-$C$10),(AL169+BE169+BF169)*$C$41,IF(((AL169+BE169+BF169+BB169)*$C$41)&lt;$C$43*(1+$C$44)^(AF169-$C$10),((AL169+BE169+BF169+BB169)*$C$41),$C$43*(1+$C$44)^(AF169-$C$10))))))</f>
        <v>9030.0260233127792</v>
      </c>
      <c r="BH169" s="82">
        <f t="shared" si="238"/>
        <v>213843.10837422637</v>
      </c>
      <c r="BI169" s="242">
        <f t="shared" si="291"/>
        <v>-3963423.4125417452</v>
      </c>
      <c r="BJ169" s="217">
        <f t="shared" si="292"/>
        <v>-4177266.5209159716</v>
      </c>
      <c r="BK169" s="118"/>
      <c r="BL169" s="219">
        <f t="shared" si="293"/>
        <v>73</v>
      </c>
      <c r="BM169" s="220">
        <f t="shared" si="294"/>
        <v>90</v>
      </c>
      <c r="BN169" s="220">
        <f t="shared" si="295"/>
        <v>0</v>
      </c>
      <c r="BO169" s="221">
        <f t="shared" si="296"/>
        <v>0</v>
      </c>
      <c r="BP169" s="221">
        <f t="shared" si="297"/>
        <v>0</v>
      </c>
      <c r="BQ169" s="222">
        <f t="shared" si="298"/>
        <v>0</v>
      </c>
      <c r="BR169" s="223">
        <f>IF(BM169&lt;$C$11-$C$10+1,0,IF(BL169&lt;=$C$13,VLOOKUP(BL169,$BN$80:$BQ$156,2,FALSE)-BS169,0))</f>
        <v>0</v>
      </c>
      <c r="BS169" s="223">
        <f>IF(BM169&lt;$C$11-$C$10+1,0,IF(BL169&lt;=$C$13,VLOOKUP(BL169,$BN$80:$BQ$156,3,FALSE),0))</f>
        <v>0</v>
      </c>
      <c r="BT169" s="222">
        <f>IF(BM169&lt;$C$11-$C$10+1,0,IF(BL169&lt;=$C$13,VLOOKUP(BL169,$BN$80:$BQ$156,4,FALSE),0))</f>
        <v>0</v>
      </c>
      <c r="BU169" s="223">
        <f t="shared" si="299"/>
        <v>0</v>
      </c>
      <c r="BV169" s="223">
        <f t="shared" si="300"/>
        <v>0</v>
      </c>
      <c r="BW169" s="223">
        <f t="shared" si="301"/>
        <v>0</v>
      </c>
      <c r="BX169" s="223">
        <f>IF(AND(BS169&lt;=0,BN169=0),MIN((MAX($BZ$80:$BZ$156)-SUM($BX$80:BX168)),CA169),IF(BS169&lt;CA169,BS169,CA169))</f>
        <v>0</v>
      </c>
      <c r="BY169" s="222">
        <f>IF(BN169&gt;0,0,IF(AND(BN169=0,BT169&lt;=0),100%,((BW168*(AVERAGE($BT$80:BT168))+(BR169*BT169))/(BR169+BW168+BS169+BV168))))</f>
        <v>1</v>
      </c>
      <c r="BZ169" s="139">
        <f t="shared" si="302"/>
        <v>430891.77838569693</v>
      </c>
      <c r="CA169" s="122">
        <f t="shared" si="303"/>
        <v>162067.72095027781</v>
      </c>
      <c r="CB169" s="181">
        <f t="shared" si="304"/>
        <v>1</v>
      </c>
      <c r="CC169" s="122">
        <f t="shared" si="305"/>
        <v>5737019.1083840327</v>
      </c>
      <c r="CD169" s="182">
        <f t="shared" si="306"/>
        <v>0</v>
      </c>
      <c r="CE169" s="122">
        <f t="shared" si="307"/>
        <v>430891.77838569693</v>
      </c>
      <c r="CF169" s="122">
        <f t="shared" si="308"/>
        <v>0</v>
      </c>
      <c r="CG169" s="122" t="str">
        <f t="shared" si="309"/>
        <v/>
      </c>
      <c r="CH169" s="140">
        <f t="shared" si="310"/>
        <v>1</v>
      </c>
      <c r="CI169" s="142">
        <f t="shared" si="311"/>
        <v>9984</v>
      </c>
      <c r="CJ169" s="134">
        <f>CI169*$C$57</f>
        <v>0</v>
      </c>
      <c r="CK169" s="142">
        <f t="shared" si="312"/>
        <v>14926</v>
      </c>
      <c r="CL169" s="134">
        <f>CK169*$C$57</f>
        <v>0</v>
      </c>
      <c r="CM169" s="142">
        <f t="shared" si="313"/>
        <v>58596</v>
      </c>
      <c r="CN169" s="134">
        <f>CM169*$C$57</f>
        <v>0</v>
      </c>
      <c r="CO169" s="132">
        <f t="shared" si="314"/>
        <v>162067.72095027781</v>
      </c>
      <c r="CP169" s="140">
        <f t="shared" si="315"/>
        <v>0.42</v>
      </c>
      <c r="CQ169" s="121" t="str">
        <f>IF($C$50="NEIN","NEIN",IF(CS169&lt;CR169,"JA","NEIN"))</f>
        <v>NEIN</v>
      </c>
      <c r="CR169" s="121">
        <f>CO169*$C$46</f>
        <v>42745.361400635767</v>
      </c>
      <c r="CS169" s="121">
        <f t="shared" si="316"/>
        <v>58800.912799116675</v>
      </c>
      <c r="CT169" s="201">
        <f>IF($C$50="NEIN",CR169,IF(CQ169="NEIN",CR169,CS169))</f>
        <v>42745.361400635767</v>
      </c>
      <c r="CU169" s="149"/>
      <c r="CV169" s="202">
        <f t="shared" si="317"/>
        <v>9984</v>
      </c>
      <c r="CW169" s="134">
        <f>CV169*$C$57</f>
        <v>0</v>
      </c>
      <c r="CX169" s="142">
        <f t="shared" si="318"/>
        <v>14926</v>
      </c>
      <c r="CY169" s="134">
        <f>CX169*$C$57</f>
        <v>0</v>
      </c>
      <c r="CZ169" s="142">
        <f t="shared" si="319"/>
        <v>58596</v>
      </c>
      <c r="DA169" s="143">
        <f>CZ169*$C$57</f>
        <v>0</v>
      </c>
      <c r="DB169" s="165">
        <f t="shared" si="320"/>
        <v>162067.72095027781</v>
      </c>
      <c r="DC169" s="140">
        <f t="shared" si="321"/>
        <v>0.42</v>
      </c>
      <c r="DD169" s="121" t="str">
        <f>IF($C$50="NEIN","NEIN",IF(DF169&lt;DE169,"JA","NEIN"))</f>
        <v>NEIN</v>
      </c>
      <c r="DE169" s="121">
        <f>DB169*$C$46</f>
        <v>42745.361400635767</v>
      </c>
      <c r="DF169" s="121">
        <f t="shared" si="322"/>
        <v>58800.912799116675</v>
      </c>
      <c r="DG169" s="201">
        <f>IF($C$50="NEIN",DE169,IF(DD169="NEIN",DE169,DF169))</f>
        <v>42745.361400635767</v>
      </c>
      <c r="DH169" s="97"/>
      <c r="DI169" s="125"/>
      <c r="DN169" s="75"/>
      <c r="DO169" s="28">
        <f t="shared" si="247"/>
        <v>2110</v>
      </c>
      <c r="DP169" s="17">
        <f>IF($C$13+$C$10&gt;=DO169,-#REF!,IF(DO169=$C$13+$C$10+1,$EK$93,0))</f>
        <v>0</v>
      </c>
      <c r="DQ169" s="17" t="e">
        <f t="shared" si="248"/>
        <v>#REF!</v>
      </c>
      <c r="DR169" s="17" t="e">
        <f t="shared" si="249"/>
        <v>#REF!</v>
      </c>
      <c r="DS169" s="17" t="e">
        <f>#REF!+EB168</f>
        <v>#REF!</v>
      </c>
      <c r="DT169" s="17" t="e">
        <f t="shared" si="191"/>
        <v>#REF!</v>
      </c>
      <c r="DU169" s="17" t="e">
        <f t="shared" si="250"/>
        <v>#REF!</v>
      </c>
      <c r="DV169" s="33" t="e">
        <f t="shared" si="192"/>
        <v>#REF!</v>
      </c>
      <c r="DW169" s="32" t="e">
        <f t="shared" si="193"/>
        <v>#REF!</v>
      </c>
      <c r="DX169" s="17" t="e">
        <f t="shared" si="251"/>
        <v>#REF!</v>
      </c>
      <c r="DY169" s="17" t="e">
        <f t="shared" si="252"/>
        <v>#REF!</v>
      </c>
      <c r="DZ169" s="17" t="e">
        <f t="shared" si="194"/>
        <v>#REF!</v>
      </c>
      <c r="EA169" s="17" t="e">
        <f t="shared" si="224"/>
        <v>#REF!</v>
      </c>
      <c r="EB169" s="15" t="e">
        <f t="shared" si="225"/>
        <v>#REF!</v>
      </c>
      <c r="EC169" s="15">
        <f>IF(DP169=0,EC168,IF(DO169&lt;=$EK$88+$C$10,ABS(DP169)+EC168,EC168))</f>
        <v>430891.77838569693</v>
      </c>
      <c r="ED169" s="15" t="e">
        <f t="shared" si="253"/>
        <v>#REF!</v>
      </c>
      <c r="EE169" s="16" t="e">
        <f t="shared" si="254"/>
        <v>#REF!</v>
      </c>
      <c r="EF169" s="15" t="e">
        <f>IF(DS169&lt;=0,0,DS169-#REF!)</f>
        <v>#REF!</v>
      </c>
      <c r="EG169" s="15" t="e">
        <f t="shared" si="255"/>
        <v>#REF!</v>
      </c>
      <c r="EH169" s="16"/>
      <c r="EI169" s="16"/>
      <c r="EJ169"/>
      <c r="EK169"/>
      <c r="EL169"/>
      <c r="EM169" s="28">
        <f t="shared" si="256"/>
        <v>2110</v>
      </c>
      <c r="EN169" s="29">
        <f>IF($C$13+$C$10&gt;=EM169,-(#REF!),IF(EM169=$C$13+$C$10+1,$FB$93,0))</f>
        <v>0</v>
      </c>
      <c r="EO169" s="30" t="e">
        <f t="shared" si="257"/>
        <v>#REF!</v>
      </c>
      <c r="EP169" s="30" t="e">
        <f t="shared" si="258"/>
        <v>#REF!</v>
      </c>
      <c r="EQ169" s="30" t="e">
        <f>#REF!-EV168</f>
        <v>#REF!</v>
      </c>
      <c r="ER169" s="25" t="e">
        <f t="shared" si="196"/>
        <v>#REF!</v>
      </c>
      <c r="ES169" s="30" t="e">
        <f t="shared" si="259"/>
        <v>#REF!</v>
      </c>
      <c r="ET169" s="26" t="e">
        <f t="shared" si="197"/>
        <v>#REF!</v>
      </c>
      <c r="EU169" s="30" t="e">
        <f t="shared" si="260"/>
        <v>#REF!</v>
      </c>
      <c r="EV169" s="25" t="e">
        <f t="shared" si="198"/>
        <v>#REF!</v>
      </c>
      <c r="EW169" s="31" t="e">
        <f t="shared" si="261"/>
        <v>#REF!</v>
      </c>
      <c r="EX169" s="27">
        <f>IF(EM169=0,EX168,IF(EM169&lt;=$FB$88+$C$10,ABS(EN169)+EX168,EX168))</f>
        <v>430891.77838569693</v>
      </c>
      <c r="EY169" s="15"/>
      <c r="EZ169"/>
      <c r="FA169"/>
      <c r="FB169"/>
      <c r="FJ169" s="28">
        <f t="shared" si="262"/>
        <v>2110</v>
      </c>
      <c r="FK169" s="65">
        <f>IF($C$13+$C$10&gt;=FJ169,-#REF!,IF(FJ169=$C$13+$C$10+1,$EK$93,0))</f>
        <v>0</v>
      </c>
      <c r="FL169" s="65">
        <f t="shared" si="263"/>
        <v>74118.803999999975</v>
      </c>
      <c r="FM169" s="65">
        <f t="shared" si="264"/>
        <v>4825309.9026361536</v>
      </c>
      <c r="FN169" s="65">
        <f>IF(FY168&gt;=$GF$97,0,#REF!+FW168)</f>
        <v>0</v>
      </c>
      <c r="FO169" s="65">
        <f t="shared" si="199"/>
        <v>5163081.5958206849</v>
      </c>
      <c r="FP169" s="65">
        <f t="shared" si="265"/>
        <v>337771.69318453129</v>
      </c>
      <c r="FQ169" s="59">
        <f t="shared" si="200"/>
        <v>2364.4018522917149</v>
      </c>
      <c r="FR169" s="60">
        <f t="shared" si="201"/>
        <v>103261.63191641369</v>
      </c>
      <c r="FS169" s="65">
        <f t="shared" si="266"/>
        <v>0</v>
      </c>
      <c r="FT169" s="65">
        <f t="shared" si="267"/>
        <v>0</v>
      </c>
      <c r="FU169" s="65">
        <f t="shared" si="202"/>
        <v>0</v>
      </c>
      <c r="FV169" s="65">
        <f t="shared" si="228"/>
        <v>18853.415042567878</v>
      </c>
      <c r="FW169" s="61">
        <f t="shared" si="229"/>
        <v>84408.216873845813</v>
      </c>
      <c r="FX169" s="61">
        <f>IF(AND(FJ169&lt;=$GF$88+$C$10,FV168&lt;=0,FN169&gt;0),(FJ169-$C$10+1)*#REF!+$GF$80,FX168)</f>
        <v>73074.599999999977</v>
      </c>
      <c r="FY169" s="62">
        <f t="shared" si="230"/>
        <v>89.241126518713585</v>
      </c>
      <c r="FZ169" s="63">
        <f t="shared" si="268"/>
        <v>5163081.5958206849</v>
      </c>
      <c r="GA169" s="64">
        <f t="shared" si="269"/>
        <v>98475.712298697006</v>
      </c>
      <c r="GB169" s="64">
        <f t="shared" si="270"/>
        <v>2092088.2615393735</v>
      </c>
      <c r="GC169" s="66">
        <f>IF(FN169&lt;=0,0,FN169-#REF!)</f>
        <v>0</v>
      </c>
      <c r="GD169" s="64">
        <f t="shared" si="271"/>
        <v>1580.6039999999994</v>
      </c>
      <c r="GE169"/>
      <c r="GF169"/>
      <c r="GI169" s="28">
        <f t="shared" si="272"/>
        <v>2110</v>
      </c>
      <c r="GJ169" s="9">
        <f>IF($GX$88+$C$10&gt;=GI169,-#REF!,IF(GI169=$GX$88+$C$10+1,$FB$93,0))</f>
        <v>0</v>
      </c>
      <c r="GK169" s="5" t="e">
        <f t="shared" si="273"/>
        <v>#REF!</v>
      </c>
      <c r="GL169" s="5" t="e">
        <f t="shared" si="274"/>
        <v>#REF!</v>
      </c>
      <c r="GM169" s="35" t="e">
        <f>IF(FX168=$GF$94,#REF!-GR168+FW168,0)</f>
        <v>#REF!</v>
      </c>
      <c r="GN169" s="4" t="e">
        <f t="shared" si="204"/>
        <v>#REF!</v>
      </c>
      <c r="GO169" s="5" t="e">
        <f t="shared" si="275"/>
        <v>#REF!</v>
      </c>
      <c r="GP169" s="5" t="e">
        <f t="shared" si="205"/>
        <v>#REF!</v>
      </c>
      <c r="GQ169" s="5" t="e">
        <f t="shared" si="276"/>
        <v>#REF!</v>
      </c>
      <c r="GR169" s="4" t="e">
        <f t="shared" si="206"/>
        <v>#REF!</v>
      </c>
      <c r="GS169" s="7" t="e">
        <f t="shared" si="277"/>
        <v>#REF!</v>
      </c>
      <c r="GT169" s="107" t="e">
        <f>IF($DG$62=0,EX169,IF(GI169-$C$10+1&lt;=$GF$98,0,#REF!-FX169))</f>
        <v>#REF!</v>
      </c>
      <c r="GU169"/>
      <c r="GV169"/>
      <c r="GW169"/>
      <c r="GX169"/>
    </row>
    <row r="170" spans="2:206" ht="16.149999999999999" thickBot="1" x14ac:dyDescent="0.55000000000000004">
      <c r="B170" s="333"/>
      <c r="C170" s="75"/>
      <c r="D170" s="75"/>
      <c r="F170" s="75"/>
      <c r="G170" s="75"/>
      <c r="H170" s="75"/>
      <c r="I170" s="75"/>
      <c r="J170" s="75"/>
      <c r="K170" s="75"/>
      <c r="L170" s="75"/>
      <c r="M170" s="75"/>
      <c r="O170" s="75"/>
      <c r="P170" s="75"/>
      <c r="Q170" s="75"/>
      <c r="R170" s="75"/>
      <c r="S170" s="290"/>
      <c r="T170" s="291"/>
      <c r="U170" s="291"/>
      <c r="V170" s="292"/>
      <c r="W170" s="292"/>
      <c r="AB170" s="117">
        <f t="shared" si="207"/>
        <v>118</v>
      </c>
      <c r="AC170" s="117">
        <f t="shared" si="208"/>
        <v>2111</v>
      </c>
      <c r="AD170" s="299">
        <f>IF($C$20="NEIN",$C$21,IF($C$22="JA",'HISTORISCHE RENDITEN'!E94,'HISTORISCHE RENDITEN'!D94))</f>
        <v>5.3200000000000004E-2</v>
      </c>
      <c r="AE170" s="129">
        <f t="shared" si="278"/>
        <v>118</v>
      </c>
      <c r="AF170" s="120">
        <f t="shared" si="280"/>
        <v>2111</v>
      </c>
      <c r="AG170" s="122">
        <f t="shared" si="281"/>
        <v>0</v>
      </c>
      <c r="AH170" s="124">
        <f t="shared" si="282"/>
        <v>430891.77838569693</v>
      </c>
      <c r="AI170" s="296">
        <f t="shared" si="283"/>
        <v>-4177266.5209159716</v>
      </c>
      <c r="AJ170" s="123">
        <f t="shared" si="233"/>
        <v>0</v>
      </c>
      <c r="AK170" s="124">
        <f t="shared" si="284"/>
        <v>-4399497.0998287005</v>
      </c>
      <c r="AL170" s="122">
        <f t="shared" si="285"/>
        <v>-222230.57891272893</v>
      </c>
      <c r="AM170" s="122" t="b">
        <f>IF($C$25="Ausschütter",0,IF(AL170&gt;=0,(AI170+AJ170)*$C$48*0.7))</f>
        <v>0</v>
      </c>
      <c r="AN170" s="122">
        <f t="shared" si="177"/>
        <v>0</v>
      </c>
      <c r="AO170" s="122">
        <f t="shared" si="212"/>
        <v>0</v>
      </c>
      <c r="AP170" s="122">
        <f t="shared" si="286"/>
        <v>18401.312245447509</v>
      </c>
      <c r="AQ170" s="122">
        <f>IF($C$25="AUSSCHÜTTER",0,IF(AO170*$C$46*$C$49&lt;=$C$47,0,AO170*$C$46*$C$49))</f>
        <v>0</v>
      </c>
      <c r="AR170" s="122">
        <f>IF(AO169*$C$49&gt;$C$47,(AN170)*$C$49*$C$46,IF((AO169+AN170)*$C$49&gt;$C$47,((AO169+AN170)*$C$49-$C$47)*$C$46,0))</f>
        <v>0</v>
      </c>
      <c r="AS170" s="122">
        <f t="shared" si="287"/>
        <v>0</v>
      </c>
      <c r="AT170" s="122">
        <f t="shared" si="288"/>
        <v>430891.77838569693</v>
      </c>
      <c r="AU170" s="122">
        <f t="shared" si="289"/>
        <v>0</v>
      </c>
      <c r="AV170" s="122">
        <f t="shared" si="290"/>
        <v>-4399497.0998287005</v>
      </c>
      <c r="AW170" s="122">
        <f t="shared" si="214"/>
        <v>0</v>
      </c>
      <c r="AX170" s="130">
        <f t="shared" si="215"/>
        <v>0</v>
      </c>
      <c r="AY170" s="82">
        <f>IF(AF170&lt;$C$11,$C$15*(1+$C$19)^(AF170-$C$10),0)</f>
        <v>0</v>
      </c>
      <c r="AZ170" s="82">
        <f>$C$14*(1+$C$37)^(AF170-$C$10)</f>
        <v>166119.41397403477</v>
      </c>
      <c r="BA170" s="165">
        <f>IF(AF170&lt;$C$11,0,MAX($C$38*AI170,AZ170))</f>
        <v>166119.41397403477</v>
      </c>
      <c r="BB170" s="82">
        <f>IF(AF170&lt;$C$11,0,MAX($C$38*AI170,AZ170))</f>
        <v>166119.41397403477</v>
      </c>
      <c r="BC170" s="136">
        <f>IF($C$39="JA",CT170,DG170)</f>
        <v>43813.995435651668</v>
      </c>
      <c r="BD170" s="82">
        <f t="shared" si="178"/>
        <v>0</v>
      </c>
      <c r="BE170" s="82">
        <f>IF(AF170&lt;($C$8+$C$30),0,$C$29*12*(1-$C$31))</f>
        <v>0</v>
      </c>
      <c r="BF170" s="82">
        <f>IF(AF170&lt;($C$8+$C$34),0,$C$33*12*(1-$C$35))</f>
        <v>0</v>
      </c>
      <c r="BG170" s="82">
        <f>IF(AF170&lt;$C$11,0,IF(AI170&lt;0,$C$42*(1+$C$44)^(AF170-$C$10),IF(((AL170+BE170+BF170)*$C$41)&lt;$C$42*(1+$C$44)^(AF170-$C$10),$C$42*(1+$C$44)^(AF170-$C$10),IF(((AL170+BE170+BF170)*$C$41)&lt;$C$43*(1+$C$44)^(AF170-$C$10),(AL170+BE170+BF170)*$C$41,IF(((AL170+BE170+BF170+BB170)*$C$41)&lt;$C$43*(1+$C$44)^(AF170-$C$10),((AL170+BE170+BF170+BB170)*$C$41),$C$43*(1+$C$44)^(AF170-$C$10))))))</f>
        <v>9165.476413662469</v>
      </c>
      <c r="BH170" s="82">
        <f t="shared" si="238"/>
        <v>219098.88582334892</v>
      </c>
      <c r="BI170" s="242">
        <f t="shared" si="291"/>
        <v>-4399497.0998287005</v>
      </c>
      <c r="BJ170" s="217">
        <f t="shared" si="292"/>
        <v>-4618595.9856520491</v>
      </c>
      <c r="BK170" s="118"/>
      <c r="BL170" s="219">
        <f t="shared" si="293"/>
        <v>74</v>
      </c>
      <c r="BM170" s="220">
        <f t="shared" si="294"/>
        <v>91</v>
      </c>
      <c r="BN170" s="220">
        <f t="shared" si="295"/>
        <v>0</v>
      </c>
      <c r="BO170" s="221">
        <f t="shared" si="296"/>
        <v>0</v>
      </c>
      <c r="BP170" s="221">
        <f t="shared" si="297"/>
        <v>0</v>
      </c>
      <c r="BQ170" s="222">
        <f t="shared" si="298"/>
        <v>0</v>
      </c>
      <c r="BR170" s="223">
        <f>IF(BM170&lt;$C$11-$C$10+1,0,IF(BL170&lt;=$C$13,VLOOKUP(BL170,$BN$80:$BQ$156,2,FALSE)-BS170,0))</f>
        <v>0</v>
      </c>
      <c r="BS170" s="223">
        <f>IF(BM170&lt;$C$11-$C$10+1,0,IF(BL170&lt;=$C$13,VLOOKUP(BL170,$BN$80:$BQ$156,3,FALSE),0))</f>
        <v>0</v>
      </c>
      <c r="BT170" s="222">
        <f>IF(BM170&lt;$C$11-$C$10+1,0,IF(BL170&lt;=$C$13,VLOOKUP(BL170,$BN$80:$BQ$156,4,FALSE),0))</f>
        <v>0</v>
      </c>
      <c r="BU170" s="223">
        <f t="shared" si="299"/>
        <v>0</v>
      </c>
      <c r="BV170" s="223">
        <f t="shared" si="300"/>
        <v>0</v>
      </c>
      <c r="BW170" s="223">
        <f t="shared" si="301"/>
        <v>0</v>
      </c>
      <c r="BX170" s="223">
        <f>IF(AND(BS170&lt;=0,BN170=0),MIN((MAX($BZ$80:$BZ$156)-SUM($BX$80:BX169)),CA170),IF(BS170&lt;CA170,BS170,CA170))</f>
        <v>0</v>
      </c>
      <c r="BY170" s="222">
        <f>IF(BN170&gt;0,0,IF(AND(BN170=0,BT170&lt;=0),100%,((BW169*(AVERAGE($BT$80:BT169))+(BR170*BT170))/(BR170+BW169+BS170+BV169))))</f>
        <v>1</v>
      </c>
      <c r="BZ170" s="139">
        <f t="shared" si="302"/>
        <v>430891.77838569693</v>
      </c>
      <c r="CA170" s="122">
        <f t="shared" si="303"/>
        <v>166119.41397403477</v>
      </c>
      <c r="CB170" s="181">
        <f t="shared" si="304"/>
        <v>1</v>
      </c>
      <c r="CC170" s="122">
        <f t="shared" si="305"/>
        <v>5903138.5223580673</v>
      </c>
      <c r="CD170" s="182">
        <f t="shared" si="306"/>
        <v>0</v>
      </c>
      <c r="CE170" s="122">
        <f t="shared" si="307"/>
        <v>430891.77838569693</v>
      </c>
      <c r="CF170" s="122">
        <f t="shared" si="308"/>
        <v>0</v>
      </c>
      <c r="CG170" s="122" t="str">
        <f t="shared" si="309"/>
        <v/>
      </c>
      <c r="CH170" s="140">
        <f t="shared" si="310"/>
        <v>1</v>
      </c>
      <c r="CI170" s="142">
        <f t="shared" si="311"/>
        <v>9984</v>
      </c>
      <c r="CJ170" s="134">
        <f>CI170*$C$57</f>
        <v>0</v>
      </c>
      <c r="CK170" s="142">
        <f t="shared" si="312"/>
        <v>14926</v>
      </c>
      <c r="CL170" s="134">
        <f>CK170*$C$57</f>
        <v>0</v>
      </c>
      <c r="CM170" s="142">
        <f t="shared" si="313"/>
        <v>58596</v>
      </c>
      <c r="CN170" s="134">
        <f>CM170*$C$57</f>
        <v>0</v>
      </c>
      <c r="CO170" s="132">
        <f t="shared" si="314"/>
        <v>166119.41397403477</v>
      </c>
      <c r="CP170" s="140">
        <f t="shared" si="315"/>
        <v>0.42</v>
      </c>
      <c r="CQ170" s="121" t="str">
        <f>IF($C$50="NEIN","NEIN",IF(CS170&lt;CR170,"JA","NEIN"))</f>
        <v>NEIN</v>
      </c>
      <c r="CR170" s="121">
        <f>CO170*$C$46</f>
        <v>43813.995435651668</v>
      </c>
      <c r="CS170" s="121">
        <f t="shared" si="316"/>
        <v>60502.623869094605</v>
      </c>
      <c r="CT170" s="201">
        <f>IF($C$50="NEIN",CR170,IF(CQ170="NEIN",CR170,CS170))</f>
        <v>43813.995435651668</v>
      </c>
      <c r="CU170" s="149"/>
      <c r="CV170" s="202">
        <f t="shared" si="317"/>
        <v>9984</v>
      </c>
      <c r="CW170" s="134">
        <f>CV170*$C$57</f>
        <v>0</v>
      </c>
      <c r="CX170" s="142">
        <f t="shared" si="318"/>
        <v>14926</v>
      </c>
      <c r="CY170" s="134">
        <f>CX170*$C$57</f>
        <v>0</v>
      </c>
      <c r="CZ170" s="142">
        <f t="shared" si="319"/>
        <v>58596</v>
      </c>
      <c r="DA170" s="143">
        <f>CZ170*$C$57</f>
        <v>0</v>
      </c>
      <c r="DB170" s="165">
        <f t="shared" si="320"/>
        <v>166119.41397403477</v>
      </c>
      <c r="DC170" s="140">
        <f t="shared" si="321"/>
        <v>0.42</v>
      </c>
      <c r="DD170" s="121" t="str">
        <f>IF($C$50="NEIN","NEIN",IF(DF170&lt;DE170,"JA","NEIN"))</f>
        <v>NEIN</v>
      </c>
      <c r="DE170" s="121">
        <f>DB170*$C$46</f>
        <v>43813.995435651668</v>
      </c>
      <c r="DF170" s="121">
        <f t="shared" si="322"/>
        <v>60502.623869094605</v>
      </c>
      <c r="DG170" s="201">
        <f>IF($C$50="NEIN",DE170,IF(DD170="NEIN",DE170,DF170))</f>
        <v>43813.995435651668</v>
      </c>
      <c r="DH170" s="97"/>
      <c r="DI170" s="125"/>
      <c r="DN170" s="75"/>
      <c r="DO170" s="28">
        <f t="shared" si="247"/>
        <v>2111</v>
      </c>
      <c r="DP170" s="17">
        <f>IF($C$13+$C$10&gt;=DO170,-#REF!,IF(DO170=$C$13+$C$10+1,$EK$93,0))</f>
        <v>0</v>
      </c>
      <c r="DQ170" s="17" t="e">
        <f t="shared" si="248"/>
        <v>#REF!</v>
      </c>
      <c r="DR170" s="17" t="e">
        <f t="shared" si="249"/>
        <v>#REF!</v>
      </c>
      <c r="DS170" s="17" t="e">
        <f>#REF!+EB169</f>
        <v>#REF!</v>
      </c>
      <c r="DT170" s="17" t="e">
        <f t="shared" si="191"/>
        <v>#REF!</v>
      </c>
      <c r="DU170" s="17" t="e">
        <f t="shared" si="250"/>
        <v>#REF!</v>
      </c>
      <c r="DV170" s="33" t="e">
        <f t="shared" si="192"/>
        <v>#REF!</v>
      </c>
      <c r="DW170" s="32" t="e">
        <f t="shared" si="193"/>
        <v>#REF!</v>
      </c>
      <c r="DX170" s="17" t="e">
        <f t="shared" si="251"/>
        <v>#REF!</v>
      </c>
      <c r="DY170" s="17" t="e">
        <f t="shared" si="252"/>
        <v>#REF!</v>
      </c>
      <c r="DZ170" s="17" t="e">
        <f t="shared" si="194"/>
        <v>#REF!</v>
      </c>
      <c r="EA170" s="17" t="e">
        <f t="shared" si="224"/>
        <v>#REF!</v>
      </c>
      <c r="EB170" s="15" t="e">
        <f t="shared" si="225"/>
        <v>#REF!</v>
      </c>
      <c r="EC170" s="15">
        <f>IF(DP170=0,EC169,IF(DO170&lt;=$EK$88+$C$10,ABS(DP170)+EC169,EC169))</f>
        <v>430891.77838569693</v>
      </c>
      <c r="ED170" s="15" t="e">
        <f t="shared" si="253"/>
        <v>#REF!</v>
      </c>
      <c r="EE170" s="16" t="e">
        <f t="shared" si="254"/>
        <v>#REF!</v>
      </c>
      <c r="EF170" s="15" t="e">
        <f>IF(DS170&lt;=0,0,DS170-#REF!)</f>
        <v>#REF!</v>
      </c>
      <c r="EG170" s="15" t="e">
        <f t="shared" si="255"/>
        <v>#REF!</v>
      </c>
      <c r="EH170" s="16"/>
      <c r="EI170" s="16"/>
      <c r="EJ170"/>
      <c r="EK170"/>
      <c r="EL170"/>
      <c r="EM170" s="28">
        <f t="shared" si="256"/>
        <v>2111</v>
      </c>
      <c r="EN170" s="29">
        <f>IF($C$13+$C$10&gt;=EM170,-(#REF!),IF(EM170=$C$13+$C$10+1,$FB$93,0))</f>
        <v>0</v>
      </c>
      <c r="EO170" s="30" t="e">
        <f t="shared" si="257"/>
        <v>#REF!</v>
      </c>
      <c r="EP170" s="30" t="e">
        <f t="shared" si="258"/>
        <v>#REF!</v>
      </c>
      <c r="EQ170" s="30" t="e">
        <f>#REF!-EV169</f>
        <v>#REF!</v>
      </c>
      <c r="ER170" s="25" t="e">
        <f t="shared" si="196"/>
        <v>#REF!</v>
      </c>
      <c r="ES170" s="30" t="e">
        <f t="shared" si="259"/>
        <v>#REF!</v>
      </c>
      <c r="ET170" s="26" t="e">
        <f t="shared" si="197"/>
        <v>#REF!</v>
      </c>
      <c r="EU170" s="30" t="e">
        <f t="shared" si="260"/>
        <v>#REF!</v>
      </c>
      <c r="EV170" s="25" t="e">
        <f t="shared" si="198"/>
        <v>#REF!</v>
      </c>
      <c r="EW170" s="31" t="e">
        <f t="shared" si="261"/>
        <v>#REF!</v>
      </c>
      <c r="EX170" s="27">
        <f>IF(EM170=0,EX169,IF(EM170&lt;=$FB$88+$C$10,ABS(EN170)+EX169,EX169))</f>
        <v>430891.77838569693</v>
      </c>
      <c r="EY170" s="15"/>
      <c r="EZ170"/>
      <c r="FA170"/>
      <c r="FB170"/>
      <c r="FJ170" s="28">
        <f t="shared" si="262"/>
        <v>2111</v>
      </c>
      <c r="FK170" s="65">
        <f>IF($C$13+$C$10&gt;=FJ170,-#REF!,IF(FJ170=$C$13+$C$10+1,$EK$93,0))</f>
        <v>0</v>
      </c>
      <c r="FL170" s="65">
        <f t="shared" si="263"/>
        <v>74118.803999999975</v>
      </c>
      <c r="FM170" s="65">
        <f t="shared" si="264"/>
        <v>5059819.9639042709</v>
      </c>
      <c r="FN170" s="65">
        <f>IF(FY169&gt;=$GF$97,0,#REF!+FW169)</f>
        <v>0</v>
      </c>
      <c r="FO170" s="65">
        <f t="shared" si="199"/>
        <v>5414007.3613775698</v>
      </c>
      <c r="FP170" s="65">
        <f t="shared" si="265"/>
        <v>354187.39747329894</v>
      </c>
      <c r="FQ170" s="59">
        <f t="shared" si="200"/>
        <v>2479.3117823130924</v>
      </c>
      <c r="FR170" s="60">
        <f t="shared" si="201"/>
        <v>108280.1472275514</v>
      </c>
      <c r="FS170" s="65">
        <f t="shared" si="266"/>
        <v>0</v>
      </c>
      <c r="FT170" s="65">
        <f t="shared" si="267"/>
        <v>0</v>
      </c>
      <c r="FU170" s="65">
        <f t="shared" si="202"/>
        <v>0</v>
      </c>
      <c r="FV170" s="65">
        <f t="shared" si="228"/>
        <v>19779.958431886676</v>
      </c>
      <c r="FW170" s="61">
        <f t="shared" si="229"/>
        <v>88500.188795664726</v>
      </c>
      <c r="FX170" s="61">
        <f>IF(AND(FJ170&lt;=$GF$88+$C$10,FV169&lt;=0,FN170&gt;0),(FJ170-$C$10+1)*#REF!+$GF$80,FX169)</f>
        <v>73074.599999999977</v>
      </c>
      <c r="FY170" s="62">
        <f t="shared" si="230"/>
        <v>93.626845267523066</v>
      </c>
      <c r="FZ170" s="63">
        <f t="shared" si="268"/>
        <v>5414007.3613775698</v>
      </c>
      <c r="GA170" s="64">
        <f t="shared" si="269"/>
        <v>103261.63191641369</v>
      </c>
      <c r="GB170" s="64">
        <f t="shared" si="270"/>
        <v>2195349.8934557871</v>
      </c>
      <c r="GC170" s="66">
        <f>IF(FN170&lt;=0,0,FN170-#REF!)</f>
        <v>0</v>
      </c>
      <c r="GD170" s="64">
        <f t="shared" si="271"/>
        <v>1580.6039999999994</v>
      </c>
      <c r="GE170"/>
      <c r="GF170"/>
      <c r="GI170" s="28">
        <f t="shared" si="272"/>
        <v>2111</v>
      </c>
      <c r="GJ170" s="9">
        <f>IF($GX$88+$C$10&gt;=GI170,-#REF!,IF(GI170=$GX$88+$C$10+1,$FB$93,0))</f>
        <v>0</v>
      </c>
      <c r="GK170" s="5" t="e">
        <f t="shared" si="273"/>
        <v>#REF!</v>
      </c>
      <c r="GL170" s="5" t="e">
        <f t="shared" si="274"/>
        <v>#REF!</v>
      </c>
      <c r="GM170" s="35" t="e">
        <f>IF(FX169=$GF$94,#REF!-GR169+FW169,0)</f>
        <v>#REF!</v>
      </c>
      <c r="GN170" s="4" t="e">
        <f t="shared" si="204"/>
        <v>#REF!</v>
      </c>
      <c r="GO170" s="5" t="e">
        <f t="shared" si="275"/>
        <v>#REF!</v>
      </c>
      <c r="GP170" s="5" t="e">
        <f t="shared" si="205"/>
        <v>#REF!</v>
      </c>
      <c r="GQ170" s="5" t="e">
        <f t="shared" si="276"/>
        <v>#REF!</v>
      </c>
      <c r="GR170" s="4" t="e">
        <f t="shared" si="206"/>
        <v>#REF!</v>
      </c>
      <c r="GS170" s="7" t="e">
        <f t="shared" si="277"/>
        <v>#REF!</v>
      </c>
      <c r="GT170" s="107" t="e">
        <f>IF($DG$62=0,EX170,IF(GI170-$C$10+1&lt;=$GF$98,0,#REF!-FX170))</f>
        <v>#REF!</v>
      </c>
      <c r="GU170"/>
      <c r="GV170"/>
      <c r="GW170"/>
      <c r="GX170"/>
    </row>
    <row r="171" spans="2:206" ht="16.149999999999999" thickBot="1" x14ac:dyDescent="0.55000000000000004">
      <c r="B171" s="333"/>
      <c r="C171" s="75"/>
      <c r="D171" s="75"/>
      <c r="F171" s="75"/>
      <c r="G171" s="75"/>
      <c r="H171" s="75"/>
      <c r="I171" s="75"/>
      <c r="J171" s="75"/>
      <c r="K171" s="75"/>
      <c r="L171" s="75"/>
      <c r="M171" s="75"/>
      <c r="O171" s="75"/>
      <c r="P171" s="75"/>
      <c r="Q171" s="75"/>
      <c r="R171" s="75"/>
      <c r="S171" s="290"/>
      <c r="T171" s="291"/>
      <c r="U171" s="291"/>
      <c r="V171" s="292"/>
      <c r="W171" s="292"/>
      <c r="AB171" s="117">
        <f t="shared" si="207"/>
        <v>119</v>
      </c>
      <c r="AC171" s="117">
        <f t="shared" si="208"/>
        <v>2112</v>
      </c>
      <c r="AD171" s="299">
        <f>IF($C$20="NEIN",$C$21,IF($C$22="JA",'HISTORISCHE RENDITEN'!E95,'HISTORISCHE RENDITEN'!D95))</f>
        <v>0.2011</v>
      </c>
      <c r="AE171" s="129">
        <f t="shared" si="278"/>
        <v>119</v>
      </c>
      <c r="AF171" s="120">
        <f t="shared" si="280"/>
        <v>2112</v>
      </c>
      <c r="AG171" s="122">
        <f t="shared" si="281"/>
        <v>0</v>
      </c>
      <c r="AH171" s="124">
        <f t="shared" si="282"/>
        <v>430891.77838569693</v>
      </c>
      <c r="AI171" s="296">
        <f t="shared" si="283"/>
        <v>-4618595.9856520491</v>
      </c>
      <c r="AJ171" s="123">
        <f t="shared" si="233"/>
        <v>0</v>
      </c>
      <c r="AK171" s="124">
        <f t="shared" si="284"/>
        <v>-5547395.6383666769</v>
      </c>
      <c r="AL171" s="122">
        <f t="shared" si="285"/>
        <v>-928799.65271462779</v>
      </c>
      <c r="AM171" s="122" t="b">
        <f>IF($C$25="Ausschütter",0,IF(AL171&gt;=0,(AI171+AJ171)*$C$48*0.7))</f>
        <v>0</v>
      </c>
      <c r="AN171" s="122">
        <f t="shared" si="177"/>
        <v>0</v>
      </c>
      <c r="AO171" s="122">
        <f t="shared" si="212"/>
        <v>0</v>
      </c>
      <c r="AP171" s="122">
        <f t="shared" si="286"/>
        <v>18401.312245447509</v>
      </c>
      <c r="AQ171" s="122">
        <f>IF($C$25="AUSSCHÜTTER",0,IF(AO171*$C$46*$C$49&lt;=$C$47,0,AO171*$C$46*$C$49))</f>
        <v>0</v>
      </c>
      <c r="AR171" s="122">
        <f>IF(AO170*$C$49&gt;$C$47,(AN171)*$C$49*$C$46,IF((AO170+AN171)*$C$49&gt;$C$47,((AO170+AN171)*$C$49-$C$47)*$C$46,0))</f>
        <v>0</v>
      </c>
      <c r="AS171" s="122">
        <f t="shared" si="287"/>
        <v>0</v>
      </c>
      <c r="AT171" s="122">
        <f t="shared" si="288"/>
        <v>430891.77838569693</v>
      </c>
      <c r="AU171" s="122">
        <f t="shared" si="289"/>
        <v>0</v>
      </c>
      <c r="AV171" s="122">
        <f t="shared" si="290"/>
        <v>-5547395.6383666769</v>
      </c>
      <c r="AW171" s="122">
        <f t="shared" si="214"/>
        <v>0</v>
      </c>
      <c r="AX171" s="130">
        <f t="shared" si="215"/>
        <v>0</v>
      </c>
      <c r="AY171" s="82">
        <f>IF(AF171&lt;$C$11,$C$15*(1+$C$19)^(AF171-$C$10),0)</f>
        <v>0</v>
      </c>
      <c r="AZ171" s="82">
        <f>$C$14*(1+$C$37)^(AF171-$C$10)</f>
        <v>170272.39932338565</v>
      </c>
      <c r="BA171" s="165">
        <f>IF(AF171&lt;$C$11,0,MAX($C$38*AI171,AZ171))</f>
        <v>170272.39932338565</v>
      </c>
      <c r="BB171" s="82">
        <f>IF(AF171&lt;$C$11,0,MAX($C$38*AI171,AZ171))</f>
        <v>170272.39932338565</v>
      </c>
      <c r="BC171" s="136">
        <f>IF($C$39="JA",CT171,DG171)</f>
        <v>44909.345321542962</v>
      </c>
      <c r="BD171" s="82">
        <f t="shared" si="178"/>
        <v>0</v>
      </c>
      <c r="BE171" s="82">
        <f>IF(AF171&lt;($C$8+$C$30),0,$C$29*12*(1-$C$31))</f>
        <v>0</v>
      </c>
      <c r="BF171" s="82">
        <f>IF(AF171&lt;($C$8+$C$34),0,$C$33*12*(1-$C$35))</f>
        <v>0</v>
      </c>
      <c r="BG171" s="82">
        <f>IF(AF171&lt;$C$11,0,IF(AI171&lt;0,$C$42*(1+$C$44)^(AF171-$C$10),IF(((AL171+BE171+BF171)*$C$41)&lt;$C$42*(1+$C$44)^(AF171-$C$10),$C$42*(1+$C$44)^(AF171-$C$10),IF(((AL171+BE171+BF171)*$C$41)&lt;$C$43*(1+$C$44)^(AF171-$C$10),(AL171+BE171+BF171)*$C$41,IF(((AL171+BE171+BF171+BB171)*$C$41)&lt;$C$43*(1+$C$44)^(AF171-$C$10),((AL171+BE171+BF171+BB171)*$C$41),$C$43*(1+$C$44)^(AF171-$C$10))))))</f>
        <v>9302.9585598674057</v>
      </c>
      <c r="BH171" s="82">
        <f t="shared" si="238"/>
        <v>224484.70320479601</v>
      </c>
      <c r="BI171" s="242">
        <f t="shared" si="291"/>
        <v>-5547395.6383666769</v>
      </c>
      <c r="BJ171" s="217">
        <f t="shared" si="292"/>
        <v>-5771880.3415714726</v>
      </c>
      <c r="BK171" s="118"/>
      <c r="BL171" s="219">
        <f t="shared" si="293"/>
        <v>75</v>
      </c>
      <c r="BM171" s="220">
        <f t="shared" si="294"/>
        <v>92</v>
      </c>
      <c r="BN171" s="220">
        <f t="shared" si="295"/>
        <v>0</v>
      </c>
      <c r="BO171" s="221">
        <f t="shared" si="296"/>
        <v>0</v>
      </c>
      <c r="BP171" s="221">
        <f t="shared" si="297"/>
        <v>0</v>
      </c>
      <c r="BQ171" s="222">
        <f t="shared" si="298"/>
        <v>0</v>
      </c>
      <c r="BR171" s="223">
        <f>IF(BM171&lt;$C$11-$C$10+1,0,IF(BL171&lt;=$C$13,VLOOKUP(BL171,$BN$80:$BQ$156,2,FALSE)-BS171,0))</f>
        <v>0</v>
      </c>
      <c r="BS171" s="223">
        <f>IF(BM171&lt;$C$11-$C$10+1,0,IF(BL171&lt;=$C$13,VLOOKUP(BL171,$BN$80:$BQ$156,3,FALSE),0))</f>
        <v>0</v>
      </c>
      <c r="BT171" s="222">
        <f>IF(BM171&lt;$C$11-$C$10+1,0,IF(BL171&lt;=$C$13,VLOOKUP(BL171,$BN$80:$BQ$156,4,FALSE),0))</f>
        <v>0</v>
      </c>
      <c r="BU171" s="223">
        <f t="shared" si="299"/>
        <v>0</v>
      </c>
      <c r="BV171" s="223">
        <f t="shared" si="300"/>
        <v>0</v>
      </c>
      <c r="BW171" s="223">
        <f t="shared" si="301"/>
        <v>0</v>
      </c>
      <c r="BX171" s="223">
        <f>IF(AND(BS171&lt;=0,BN171=0),MIN((MAX($BZ$80:$BZ$156)-SUM($BX$80:BX170)),CA171),IF(BS171&lt;CA171,BS171,CA171))</f>
        <v>0</v>
      </c>
      <c r="BY171" s="222">
        <f>IF(BN171&gt;0,0,IF(AND(BN171=0,BT171&lt;=0),100%,((BW170*(AVERAGE($BT$80:BT170))+(BR171*BT171))/(BR171+BW170+BS171+BV170))))</f>
        <v>1</v>
      </c>
      <c r="BZ171" s="139">
        <f t="shared" si="302"/>
        <v>430891.77838569693</v>
      </c>
      <c r="CA171" s="122">
        <f t="shared" si="303"/>
        <v>170272.39932338565</v>
      </c>
      <c r="CB171" s="181">
        <f t="shared" si="304"/>
        <v>1</v>
      </c>
      <c r="CC171" s="122">
        <f t="shared" si="305"/>
        <v>6073410.9216814525</v>
      </c>
      <c r="CD171" s="182">
        <f t="shared" si="306"/>
        <v>0</v>
      </c>
      <c r="CE171" s="122">
        <f t="shared" si="307"/>
        <v>430891.77838569693</v>
      </c>
      <c r="CF171" s="122">
        <f t="shared" si="308"/>
        <v>0</v>
      </c>
      <c r="CG171" s="122" t="str">
        <f t="shared" si="309"/>
        <v/>
      </c>
      <c r="CH171" s="140">
        <f t="shared" si="310"/>
        <v>1</v>
      </c>
      <c r="CI171" s="142">
        <f t="shared" si="311"/>
        <v>9984</v>
      </c>
      <c r="CJ171" s="134">
        <f>CI171*$C$57</f>
        <v>0</v>
      </c>
      <c r="CK171" s="142">
        <f t="shared" si="312"/>
        <v>14926</v>
      </c>
      <c r="CL171" s="134">
        <f>CK171*$C$57</f>
        <v>0</v>
      </c>
      <c r="CM171" s="142">
        <f t="shared" si="313"/>
        <v>58596</v>
      </c>
      <c r="CN171" s="134">
        <f>CM171*$C$57</f>
        <v>0</v>
      </c>
      <c r="CO171" s="132">
        <f t="shared" si="314"/>
        <v>170272.39932338565</v>
      </c>
      <c r="CP171" s="140">
        <f t="shared" si="315"/>
        <v>0.42</v>
      </c>
      <c r="CQ171" s="121" t="str">
        <f>IF($C$50="NEIN","NEIN",IF(CS171&lt;CR171,"JA","NEIN"))</f>
        <v>NEIN</v>
      </c>
      <c r="CR171" s="121">
        <f>CO171*$C$46</f>
        <v>44909.345321542962</v>
      </c>
      <c r="CS171" s="121">
        <f t="shared" si="316"/>
        <v>62246.877715821975</v>
      </c>
      <c r="CT171" s="201">
        <f>IF($C$50="NEIN",CR171,IF(CQ171="NEIN",CR171,CS171))</f>
        <v>44909.345321542962</v>
      </c>
      <c r="CU171" s="149"/>
      <c r="CV171" s="202">
        <f t="shared" si="317"/>
        <v>9984</v>
      </c>
      <c r="CW171" s="134">
        <f>CV171*$C$57</f>
        <v>0</v>
      </c>
      <c r="CX171" s="142">
        <f t="shared" si="318"/>
        <v>14926</v>
      </c>
      <c r="CY171" s="134">
        <f>CX171*$C$57</f>
        <v>0</v>
      </c>
      <c r="CZ171" s="142">
        <f t="shared" si="319"/>
        <v>58596</v>
      </c>
      <c r="DA171" s="143">
        <f>CZ171*$C$57</f>
        <v>0</v>
      </c>
      <c r="DB171" s="165">
        <f t="shared" si="320"/>
        <v>170272.39932338565</v>
      </c>
      <c r="DC171" s="140">
        <f t="shared" si="321"/>
        <v>0.42</v>
      </c>
      <c r="DD171" s="121" t="str">
        <f>IF($C$50="NEIN","NEIN",IF(DF171&lt;DE171,"JA","NEIN"))</f>
        <v>NEIN</v>
      </c>
      <c r="DE171" s="121">
        <f>DB171*$C$46</f>
        <v>44909.345321542962</v>
      </c>
      <c r="DF171" s="121">
        <f t="shared" si="322"/>
        <v>62246.877715821975</v>
      </c>
      <c r="DG171" s="201">
        <f>IF($C$50="NEIN",DE171,IF(DD171="NEIN",DE171,DF171))</f>
        <v>44909.345321542962</v>
      </c>
      <c r="DH171" s="97"/>
      <c r="DI171" s="125"/>
      <c r="DN171" s="75"/>
      <c r="DO171" s="28">
        <f t="shared" si="247"/>
        <v>2112</v>
      </c>
      <c r="DP171" s="17">
        <f>IF($C$13+$C$10&gt;=DO171,-#REF!,IF(DO171=$C$13+$C$10+1,$EK$93,0))</f>
        <v>0</v>
      </c>
      <c r="DQ171" s="17" t="e">
        <f t="shared" si="248"/>
        <v>#REF!</v>
      </c>
      <c r="DR171" s="17" t="e">
        <f t="shared" si="249"/>
        <v>#REF!</v>
      </c>
      <c r="DS171" s="17" t="e">
        <f>#REF!+EB170</f>
        <v>#REF!</v>
      </c>
      <c r="DT171" s="17" t="e">
        <f t="shared" si="191"/>
        <v>#REF!</v>
      </c>
      <c r="DU171" s="17" t="e">
        <f t="shared" si="250"/>
        <v>#REF!</v>
      </c>
      <c r="DV171" s="33" t="e">
        <f t="shared" si="192"/>
        <v>#REF!</v>
      </c>
      <c r="DW171" s="32" t="e">
        <f t="shared" si="193"/>
        <v>#REF!</v>
      </c>
      <c r="DX171" s="17" t="e">
        <f t="shared" si="251"/>
        <v>#REF!</v>
      </c>
      <c r="DY171" s="17" t="e">
        <f t="shared" si="252"/>
        <v>#REF!</v>
      </c>
      <c r="DZ171" s="17" t="e">
        <f t="shared" si="194"/>
        <v>#REF!</v>
      </c>
      <c r="EA171" s="17" t="e">
        <f t="shared" si="224"/>
        <v>#REF!</v>
      </c>
      <c r="EB171" s="15" t="e">
        <f t="shared" si="225"/>
        <v>#REF!</v>
      </c>
      <c r="EC171" s="15">
        <f>IF(DP171=0,EC170,IF(DO171&lt;=$EK$88+$C$10,ABS(DP171)+EC170,EC170))</f>
        <v>430891.77838569693</v>
      </c>
      <c r="ED171" s="15" t="e">
        <f t="shared" si="253"/>
        <v>#REF!</v>
      </c>
      <c r="EE171" s="16" t="e">
        <f t="shared" si="254"/>
        <v>#REF!</v>
      </c>
      <c r="EF171" s="15" t="e">
        <f>IF(DS171&lt;=0,0,DS171-#REF!)</f>
        <v>#REF!</v>
      </c>
      <c r="EG171" s="15" t="e">
        <f t="shared" si="255"/>
        <v>#REF!</v>
      </c>
      <c r="EH171" s="16"/>
      <c r="EI171" s="16"/>
      <c r="EJ171"/>
      <c r="EK171"/>
      <c r="EL171"/>
      <c r="EM171" s="28">
        <f t="shared" si="256"/>
        <v>2112</v>
      </c>
      <c r="EN171" s="29">
        <f>IF($C$13+$C$10&gt;=EM171,-(#REF!),IF(EM171=$C$13+$C$10+1,$FB$93,0))</f>
        <v>0</v>
      </c>
      <c r="EO171" s="30" t="e">
        <f t="shared" si="257"/>
        <v>#REF!</v>
      </c>
      <c r="EP171" s="30" t="e">
        <f t="shared" si="258"/>
        <v>#REF!</v>
      </c>
      <c r="EQ171" s="30" t="e">
        <f>#REF!-EV170</f>
        <v>#REF!</v>
      </c>
      <c r="ER171" s="25" t="e">
        <f t="shared" si="196"/>
        <v>#REF!</v>
      </c>
      <c r="ES171" s="30" t="e">
        <f t="shared" si="259"/>
        <v>#REF!</v>
      </c>
      <c r="ET171" s="26" t="e">
        <f t="shared" si="197"/>
        <v>#REF!</v>
      </c>
      <c r="EU171" s="30" t="e">
        <f t="shared" si="260"/>
        <v>#REF!</v>
      </c>
      <c r="EV171" s="25" t="e">
        <f t="shared" si="198"/>
        <v>#REF!</v>
      </c>
      <c r="EW171" s="31" t="e">
        <f t="shared" si="261"/>
        <v>#REF!</v>
      </c>
      <c r="EX171" s="27">
        <f>IF(EM171=0,EX170,IF(EM171&lt;=$FB$88+$C$10,ABS(EN171)+EX170,EX170))</f>
        <v>430891.77838569693</v>
      </c>
      <c r="EY171" s="15"/>
      <c r="EZ171"/>
      <c r="FA171"/>
      <c r="FB171"/>
      <c r="FJ171" s="28">
        <f t="shared" si="262"/>
        <v>2112</v>
      </c>
      <c r="FK171" s="65">
        <f>IF($C$13+$C$10&gt;=FJ171,-#REF!,IF(FJ171=$C$13+$C$10+1,$EK$93,0))</f>
        <v>0</v>
      </c>
      <c r="FL171" s="65">
        <f t="shared" si="263"/>
        <v>74118.803999999975</v>
      </c>
      <c r="FM171" s="65">
        <f t="shared" si="264"/>
        <v>5305727.2141500181</v>
      </c>
      <c r="FN171" s="65">
        <f>IF(FY170&gt;=$GF$97,0,#REF!+FW170)</f>
        <v>0</v>
      </c>
      <c r="FO171" s="65">
        <f t="shared" si="199"/>
        <v>5677128.1191405198</v>
      </c>
      <c r="FP171" s="65">
        <f t="shared" si="265"/>
        <v>371400.9049905017</v>
      </c>
      <c r="FQ171" s="59">
        <f t="shared" si="200"/>
        <v>2599.8063349335084</v>
      </c>
      <c r="FR171" s="60">
        <f t="shared" si="201"/>
        <v>113542.5623828104</v>
      </c>
      <c r="FS171" s="65">
        <f t="shared" si="266"/>
        <v>0</v>
      </c>
      <c r="FT171" s="65">
        <f t="shared" si="267"/>
        <v>0</v>
      </c>
      <c r="FU171" s="65">
        <f t="shared" si="202"/>
        <v>0</v>
      </c>
      <c r="FV171" s="65">
        <f t="shared" si="228"/>
        <v>20751.531829926367</v>
      </c>
      <c r="FW171" s="61">
        <f t="shared" si="229"/>
        <v>92791.03055288404</v>
      </c>
      <c r="FX171" s="61">
        <f>IF(AND(FJ171&lt;=$GF$88+$C$10,FV170&lt;=0,FN171&gt;0),(FJ171-$C$10+1)*#REF!+$GF$80,FX170)</f>
        <v>73074.599999999977</v>
      </c>
      <c r="FY171" s="62">
        <f t="shared" si="230"/>
        <v>98.225709947524678</v>
      </c>
      <c r="FZ171" s="63">
        <f t="shared" si="268"/>
        <v>5677128.1191405198</v>
      </c>
      <c r="GA171" s="64">
        <f t="shared" si="269"/>
        <v>108280.1472275514</v>
      </c>
      <c r="GB171" s="64">
        <f t="shared" si="270"/>
        <v>2303630.0406833384</v>
      </c>
      <c r="GC171" s="66">
        <f>IF(FN171&lt;=0,0,FN171-#REF!)</f>
        <v>0</v>
      </c>
      <c r="GD171" s="64">
        <f t="shared" si="271"/>
        <v>1580.6039999999994</v>
      </c>
      <c r="GE171"/>
      <c r="GF171"/>
      <c r="GI171" s="28">
        <f t="shared" si="272"/>
        <v>2112</v>
      </c>
      <c r="GJ171" s="9">
        <f>IF($GX$88+$C$10&gt;=GI171,-#REF!,IF(GI171=$GX$88+$C$10+1,$FB$93,0))</f>
        <v>0</v>
      </c>
      <c r="GK171" s="5" t="e">
        <f t="shared" si="273"/>
        <v>#REF!</v>
      </c>
      <c r="GL171" s="5" t="e">
        <f t="shared" si="274"/>
        <v>#REF!</v>
      </c>
      <c r="GM171" s="35" t="e">
        <f>IF(FX170=$GF$94,#REF!-GR170+FW170,0)</f>
        <v>#REF!</v>
      </c>
      <c r="GN171" s="4" t="e">
        <f t="shared" si="204"/>
        <v>#REF!</v>
      </c>
      <c r="GO171" s="5" t="e">
        <f t="shared" si="275"/>
        <v>#REF!</v>
      </c>
      <c r="GP171" s="5" t="e">
        <f t="shared" si="205"/>
        <v>#REF!</v>
      </c>
      <c r="GQ171" s="5" t="e">
        <f t="shared" si="276"/>
        <v>#REF!</v>
      </c>
      <c r="GR171" s="4" t="e">
        <f t="shared" si="206"/>
        <v>#REF!</v>
      </c>
      <c r="GS171" s="7" t="e">
        <f t="shared" si="277"/>
        <v>#REF!</v>
      </c>
      <c r="GT171" s="107" t="e">
        <f>IF($DG$62=0,EX171,IF(GI171-$C$10+1&lt;=$GF$98,0,#REF!-FX171))</f>
        <v>#REF!</v>
      </c>
      <c r="GU171"/>
      <c r="GV171"/>
      <c r="GW171"/>
      <c r="GX171"/>
    </row>
    <row r="172" spans="2:206" ht="16.149999999999999" thickBot="1" x14ac:dyDescent="0.55000000000000004">
      <c r="B172" s="333"/>
      <c r="C172" s="75"/>
      <c r="D172" s="75"/>
      <c r="F172" s="75"/>
      <c r="G172" s="75"/>
      <c r="H172" s="75"/>
      <c r="I172" s="75"/>
      <c r="J172" s="75"/>
      <c r="K172" s="75"/>
      <c r="L172" s="75"/>
      <c r="M172" s="75"/>
      <c r="O172" s="75"/>
      <c r="P172" s="75"/>
      <c r="Q172" s="75"/>
      <c r="R172" s="75"/>
      <c r="S172" s="290"/>
      <c r="T172" s="291"/>
      <c r="U172" s="291"/>
      <c r="V172" s="292"/>
      <c r="W172" s="292"/>
      <c r="AB172" s="117">
        <f t="shared" si="207"/>
        <v>120</v>
      </c>
      <c r="AC172" s="117">
        <f t="shared" si="208"/>
        <v>2113</v>
      </c>
      <c r="AD172" s="299">
        <f>IF($C$20="NEIN",$C$21,IF($C$22="JA",'HISTORISCHE RENDITEN'!E96,'HISTORISCHE RENDITEN'!D96))</f>
        <v>-0.10439999999999999</v>
      </c>
      <c r="AE172" s="129">
        <f t="shared" si="278"/>
        <v>120</v>
      </c>
      <c r="AF172" s="120">
        <f t="shared" si="280"/>
        <v>2113</v>
      </c>
      <c r="AG172" s="122">
        <f t="shared" si="281"/>
        <v>0</v>
      </c>
      <c r="AH172" s="124">
        <f t="shared" si="282"/>
        <v>430891.77838569693</v>
      </c>
      <c r="AI172" s="296">
        <f t="shared" si="283"/>
        <v>-5771880.3415714726</v>
      </c>
      <c r="AJ172" s="123">
        <f t="shared" si="233"/>
        <v>0</v>
      </c>
      <c r="AK172" s="124">
        <f t="shared" si="284"/>
        <v>-5169296.0339114107</v>
      </c>
      <c r="AL172" s="122">
        <f t="shared" si="285"/>
        <v>602584.30766006187</v>
      </c>
      <c r="AM172" s="122">
        <f>IF($C$25="Ausschütter",0,IF(AL172&gt;=0,(AI172+AJ172)*$C$48*0.7))</f>
        <v>-2828.2213673700212</v>
      </c>
      <c r="AN172" s="122">
        <f t="shared" si="177"/>
        <v>0</v>
      </c>
      <c r="AO172" s="122">
        <f t="shared" si="212"/>
        <v>-2828.2213673700212</v>
      </c>
      <c r="AP172" s="122">
        <f t="shared" si="286"/>
        <v>15573.090878077488</v>
      </c>
      <c r="AQ172" s="122">
        <f>IF($C$25="AUSSCHÜTTER",0,IF(AO172*$C$46*$C$49&lt;=$C$47,0,AO172*$C$46*$C$49))</f>
        <v>0</v>
      </c>
      <c r="AR172" s="122">
        <f>IF(AO171*$C$49&gt;$C$47,(AN172)*$C$49*$C$46,IF((AO171+AN172)*$C$49&gt;$C$47,((AO171+AN172)*$C$49-$C$47)*$C$46,0))</f>
        <v>0</v>
      </c>
      <c r="AS172" s="122">
        <f t="shared" si="287"/>
        <v>0</v>
      </c>
      <c r="AT172" s="122">
        <f t="shared" si="288"/>
        <v>430891.77838569693</v>
      </c>
      <c r="AU172" s="122">
        <f t="shared" si="289"/>
        <v>0</v>
      </c>
      <c r="AV172" s="122">
        <f t="shared" si="290"/>
        <v>-5169296.0339114107</v>
      </c>
      <c r="AW172" s="122">
        <f t="shared" si="214"/>
        <v>0</v>
      </c>
      <c r="AX172" s="130">
        <f t="shared" si="215"/>
        <v>0</v>
      </c>
      <c r="AY172" s="82">
        <f>IF(AF172&lt;$C$11,$C$15*(1+$C$19)^(AF172-$C$10),0)</f>
        <v>0</v>
      </c>
      <c r="AZ172" s="82">
        <f>$C$14*(1+$C$37)^(AF172-$C$10)</f>
        <v>174529.20930647026</v>
      </c>
      <c r="BA172" s="165">
        <f>IF(AF172&lt;$C$11,0,MAX($C$38*AI172,AZ172))</f>
        <v>174529.20930647026</v>
      </c>
      <c r="BB172" s="82">
        <f>IF(AF172&lt;$C$11,0,MAX($C$38*AI172,AZ172))</f>
        <v>174529.20930647026</v>
      </c>
      <c r="BC172" s="136">
        <f>IF($C$39="JA",CT172,DG172)</f>
        <v>46032.078954581528</v>
      </c>
      <c r="BD172" s="82">
        <f t="shared" si="178"/>
        <v>0</v>
      </c>
      <c r="BE172" s="82">
        <f>IF(AF172&lt;($C$8+$C$30),0,$C$29*12*(1-$C$31))</f>
        <v>0</v>
      </c>
      <c r="BF172" s="82">
        <f>IF(AF172&lt;($C$8+$C$34),0,$C$33*12*(1-$C$35))</f>
        <v>0</v>
      </c>
      <c r="BG172" s="82">
        <f>IF(AF172&lt;$C$11,0,IF(AI172&lt;0,$C$42*(1+$C$44)^(AF172-$C$10),IF(((AL172+BE172+BF172)*$C$41)&lt;$C$42*(1+$C$44)^(AF172-$C$10),$C$42*(1+$C$44)^(AF172-$C$10),IF(((AL172+BE172+BF172)*$C$41)&lt;$C$43*(1+$C$44)^(AF172-$C$10),(AL172+BE172+BF172)*$C$41,IF(((AL172+BE172+BF172+BB172)*$C$41)&lt;$C$43*(1+$C$44)^(AF172-$C$10),((AL172+BE172+BF172+BB172)*$C$41),$C$43*(1+$C$44)^(AF172-$C$10))))))</f>
        <v>9442.5029382654138</v>
      </c>
      <c r="BH172" s="82">
        <f t="shared" si="238"/>
        <v>230003.7911993172</v>
      </c>
      <c r="BI172" s="242">
        <f t="shared" si="291"/>
        <v>-5169296.0339114107</v>
      </c>
      <c r="BJ172" s="217">
        <f t="shared" si="292"/>
        <v>-5399299.8251107279</v>
      </c>
      <c r="BK172" s="118"/>
      <c r="BL172" s="219">
        <f t="shared" si="293"/>
        <v>76</v>
      </c>
      <c r="BM172" s="220">
        <f t="shared" si="294"/>
        <v>93</v>
      </c>
      <c r="BN172" s="220">
        <f t="shared" si="295"/>
        <v>0</v>
      </c>
      <c r="BO172" s="221">
        <f t="shared" si="296"/>
        <v>0</v>
      </c>
      <c r="BP172" s="221">
        <f t="shared" si="297"/>
        <v>0</v>
      </c>
      <c r="BQ172" s="222">
        <f t="shared" si="298"/>
        <v>0</v>
      </c>
      <c r="BR172" s="223">
        <f>IF(BM172&lt;$C$11-$C$10+1,0,IF(BL172&lt;=$C$13,VLOOKUP(BL172,$BN$80:$BQ$156,2,FALSE)-BS172,0))</f>
        <v>0</v>
      </c>
      <c r="BS172" s="223">
        <f>IF(BM172&lt;$C$11-$C$10+1,0,IF(BL172&lt;=$C$13,VLOOKUP(BL172,$BN$80:$BQ$156,3,FALSE),0))</f>
        <v>0</v>
      </c>
      <c r="BT172" s="222">
        <f>IF(BM172&lt;$C$11-$C$10+1,0,IF(BL172&lt;=$C$13,VLOOKUP(BL172,$BN$80:$BQ$156,4,FALSE),0))</f>
        <v>0</v>
      </c>
      <c r="BU172" s="223">
        <f t="shared" si="299"/>
        <v>0</v>
      </c>
      <c r="BV172" s="223">
        <f t="shared" si="300"/>
        <v>0</v>
      </c>
      <c r="BW172" s="223">
        <f t="shared" si="301"/>
        <v>0</v>
      </c>
      <c r="BX172" s="223">
        <f>IF(AND(BS172&lt;=0,BN172=0),MIN((MAX($BZ$80:$BZ$156)-SUM($BX$80:BX171)),CA172),IF(BS172&lt;CA172,BS172,CA172))</f>
        <v>0</v>
      </c>
      <c r="BY172" s="222">
        <f>IF(BN172&gt;0,0,IF(AND(BN172=0,BT172&lt;=0),100%,((BW171*(AVERAGE($BT$80:BT171))+(BR172*BT172))/(BR172+BW171+BS172+BV171))))</f>
        <v>1</v>
      </c>
      <c r="BZ172" s="139">
        <f t="shared" si="302"/>
        <v>430891.77838569693</v>
      </c>
      <c r="CA172" s="122">
        <f t="shared" si="303"/>
        <v>174529.20930647026</v>
      </c>
      <c r="CB172" s="181">
        <f t="shared" si="304"/>
        <v>1</v>
      </c>
      <c r="CC172" s="122">
        <f t="shared" si="305"/>
        <v>6247940.1309879227</v>
      </c>
      <c r="CD172" s="182">
        <f t="shared" si="306"/>
        <v>0</v>
      </c>
      <c r="CE172" s="122">
        <f t="shared" si="307"/>
        <v>430891.77838569693</v>
      </c>
      <c r="CF172" s="122">
        <f t="shared" si="308"/>
        <v>0</v>
      </c>
      <c r="CG172" s="122" t="str">
        <f t="shared" si="309"/>
        <v/>
      </c>
      <c r="CH172" s="140">
        <f t="shared" si="310"/>
        <v>1</v>
      </c>
      <c r="CI172" s="142">
        <f t="shared" si="311"/>
        <v>9984</v>
      </c>
      <c r="CJ172" s="134">
        <f>CI172*$C$57</f>
        <v>0</v>
      </c>
      <c r="CK172" s="142">
        <f t="shared" si="312"/>
        <v>14926</v>
      </c>
      <c r="CL172" s="134">
        <f>CK172*$C$57</f>
        <v>0</v>
      </c>
      <c r="CM172" s="142">
        <f t="shared" si="313"/>
        <v>58596</v>
      </c>
      <c r="CN172" s="134">
        <f>CM172*$C$57</f>
        <v>0</v>
      </c>
      <c r="CO172" s="132">
        <f t="shared" si="314"/>
        <v>174529.20930647026</v>
      </c>
      <c r="CP172" s="140">
        <f t="shared" si="315"/>
        <v>0.42</v>
      </c>
      <c r="CQ172" s="121" t="str">
        <f>IF($C$50="NEIN","NEIN",IF(CS172&lt;CR172,"JA","NEIN"))</f>
        <v>NEIN</v>
      </c>
      <c r="CR172" s="121">
        <f>CO172*$C$46</f>
        <v>46032.078954581528</v>
      </c>
      <c r="CS172" s="121">
        <f t="shared" si="316"/>
        <v>64034.737908717507</v>
      </c>
      <c r="CT172" s="201">
        <f>IF($C$50="NEIN",CR172,IF(CQ172="NEIN",CR172,CS172))</f>
        <v>46032.078954581528</v>
      </c>
      <c r="CU172" s="149"/>
      <c r="CV172" s="202">
        <f t="shared" si="317"/>
        <v>9984</v>
      </c>
      <c r="CW172" s="134">
        <f>CV172*$C$57</f>
        <v>0</v>
      </c>
      <c r="CX172" s="142">
        <f t="shared" si="318"/>
        <v>14926</v>
      </c>
      <c r="CY172" s="134">
        <f>CX172*$C$57</f>
        <v>0</v>
      </c>
      <c r="CZ172" s="142">
        <f t="shared" si="319"/>
        <v>58596</v>
      </c>
      <c r="DA172" s="143">
        <f>CZ172*$C$57</f>
        <v>0</v>
      </c>
      <c r="DB172" s="165">
        <f t="shared" si="320"/>
        <v>174529.20930647026</v>
      </c>
      <c r="DC172" s="140">
        <f t="shared" si="321"/>
        <v>0.42</v>
      </c>
      <c r="DD172" s="121" t="str">
        <f>IF($C$50="NEIN","NEIN",IF(DF172&lt;DE172,"JA","NEIN"))</f>
        <v>NEIN</v>
      </c>
      <c r="DE172" s="121">
        <f>DB172*$C$46</f>
        <v>46032.078954581528</v>
      </c>
      <c r="DF172" s="121">
        <f t="shared" si="322"/>
        <v>64034.737908717507</v>
      </c>
      <c r="DG172" s="201">
        <f>IF($C$50="NEIN",DE172,IF(DD172="NEIN",DE172,DF172))</f>
        <v>46032.078954581528</v>
      </c>
      <c r="DH172" s="97"/>
      <c r="DI172" s="125"/>
      <c r="DN172" s="75"/>
      <c r="DO172" s="28">
        <f t="shared" si="247"/>
        <v>2113</v>
      </c>
      <c r="DP172" s="17">
        <f>IF($C$13+$C$10&gt;=DO172,-#REF!,IF(DO172=$C$13+$C$10+1,$EK$93,0))</f>
        <v>0</v>
      </c>
      <c r="DQ172" s="17" t="e">
        <f t="shared" si="248"/>
        <v>#REF!</v>
      </c>
      <c r="DR172" s="17" t="e">
        <f t="shared" si="249"/>
        <v>#REF!</v>
      </c>
      <c r="DS172" s="17" t="e">
        <f>#REF!+EB171</f>
        <v>#REF!</v>
      </c>
      <c r="DT172" s="17" t="e">
        <f t="shared" si="191"/>
        <v>#REF!</v>
      </c>
      <c r="DU172" s="17" t="e">
        <f t="shared" si="250"/>
        <v>#REF!</v>
      </c>
      <c r="DV172" s="33" t="e">
        <f t="shared" si="192"/>
        <v>#REF!</v>
      </c>
      <c r="DW172" s="32" t="e">
        <f t="shared" si="193"/>
        <v>#REF!</v>
      </c>
      <c r="DX172" s="17" t="e">
        <f t="shared" si="251"/>
        <v>#REF!</v>
      </c>
      <c r="DY172" s="17" t="e">
        <f t="shared" si="252"/>
        <v>#REF!</v>
      </c>
      <c r="DZ172" s="17" t="e">
        <f t="shared" si="194"/>
        <v>#REF!</v>
      </c>
      <c r="EA172" s="17" t="e">
        <f t="shared" si="224"/>
        <v>#REF!</v>
      </c>
      <c r="EB172" s="15" t="e">
        <f t="shared" si="225"/>
        <v>#REF!</v>
      </c>
      <c r="EC172" s="15">
        <f>IF(DP172=0,EC171,IF(DO172&lt;=$EK$88+$C$10,ABS(DP172)+EC171,EC171))</f>
        <v>430891.77838569693</v>
      </c>
      <c r="ED172" s="15" t="e">
        <f t="shared" si="253"/>
        <v>#REF!</v>
      </c>
      <c r="EE172" s="16" t="e">
        <f t="shared" si="254"/>
        <v>#REF!</v>
      </c>
      <c r="EF172" s="15" t="e">
        <f>IF(DS172&lt;=0,0,DS172-#REF!)</f>
        <v>#REF!</v>
      </c>
      <c r="EG172" s="15" t="e">
        <f t="shared" si="255"/>
        <v>#REF!</v>
      </c>
      <c r="EH172" s="16"/>
      <c r="EI172" s="16"/>
      <c r="EJ172"/>
      <c r="EK172"/>
      <c r="EL172"/>
      <c r="EM172" s="28">
        <f t="shared" si="256"/>
        <v>2113</v>
      </c>
      <c r="EN172" s="29">
        <f>IF($C$13+$C$10&gt;=EM172,-(#REF!),IF(EM172=$C$13+$C$10+1,$FB$93,0))</f>
        <v>0</v>
      </c>
      <c r="EO172" s="30" t="e">
        <f t="shared" si="257"/>
        <v>#REF!</v>
      </c>
      <c r="EP172" s="30" t="e">
        <f t="shared" si="258"/>
        <v>#REF!</v>
      </c>
      <c r="EQ172" s="30" t="e">
        <f>#REF!-EV171</f>
        <v>#REF!</v>
      </c>
      <c r="ER172" s="25" t="e">
        <f t="shared" si="196"/>
        <v>#REF!</v>
      </c>
      <c r="ES172" s="30" t="e">
        <f t="shared" si="259"/>
        <v>#REF!</v>
      </c>
      <c r="ET172" s="26" t="e">
        <f t="shared" si="197"/>
        <v>#REF!</v>
      </c>
      <c r="EU172" s="30" t="e">
        <f t="shared" si="260"/>
        <v>#REF!</v>
      </c>
      <c r="EV172" s="25" t="e">
        <f t="shared" si="198"/>
        <v>#REF!</v>
      </c>
      <c r="EW172" s="31" t="e">
        <f t="shared" si="261"/>
        <v>#REF!</v>
      </c>
      <c r="EX172" s="27">
        <f>IF(EM172=0,EX171,IF(EM172&lt;=$FB$88+$C$10,ABS(EN172)+EX171,EX171))</f>
        <v>430891.77838569693</v>
      </c>
      <c r="EY172" s="15"/>
      <c r="EZ172"/>
      <c r="FA172"/>
      <c r="FB172"/>
      <c r="FJ172" s="28">
        <f t="shared" si="262"/>
        <v>2113</v>
      </c>
      <c r="FK172" s="65">
        <f>IF($C$13+$C$10&gt;=FJ172,-#REF!,IF(FJ172=$C$13+$C$10+1,$EK$93,0))</f>
        <v>0</v>
      </c>
      <c r="FL172" s="65">
        <f t="shared" si="263"/>
        <v>74118.803999999975</v>
      </c>
      <c r="FM172" s="65">
        <f t="shared" si="264"/>
        <v>5563585.556757709</v>
      </c>
      <c r="FN172" s="65">
        <f>IF(FY171&gt;=$GF$97,0,#REF!+FW171)</f>
        <v>0</v>
      </c>
      <c r="FO172" s="65">
        <f t="shared" si="199"/>
        <v>5953036.5457307491</v>
      </c>
      <c r="FP172" s="65">
        <f t="shared" si="265"/>
        <v>389450.98897304013</v>
      </c>
      <c r="FQ172" s="59">
        <f t="shared" si="200"/>
        <v>2726.1569228112776</v>
      </c>
      <c r="FR172" s="60">
        <f t="shared" si="201"/>
        <v>119060.73091461498</v>
      </c>
      <c r="FS172" s="65">
        <f t="shared" si="266"/>
        <v>0</v>
      </c>
      <c r="FT172" s="65">
        <f t="shared" si="267"/>
        <v>0</v>
      </c>
      <c r="FU172" s="65">
        <f t="shared" si="202"/>
        <v>0</v>
      </c>
      <c r="FV172" s="65">
        <f t="shared" si="228"/>
        <v>21770.32369511079</v>
      </c>
      <c r="FW172" s="61">
        <f t="shared" si="229"/>
        <v>97290.407219504181</v>
      </c>
      <c r="FX172" s="61">
        <f>IF(AND(FJ172&lt;=$GF$88+$C$10,FV171&lt;=0,FN172&gt;0),(FJ172-$C$10+1)*#REF!+$GF$80,FX171)</f>
        <v>73074.599999999977</v>
      </c>
      <c r="FY172" s="62">
        <f t="shared" si="230"/>
        <v>103.04807945097438</v>
      </c>
      <c r="FZ172" s="63">
        <f t="shared" si="268"/>
        <v>5953036.5457307491</v>
      </c>
      <c r="GA172" s="64">
        <f t="shared" si="269"/>
        <v>113542.5623828104</v>
      </c>
      <c r="GB172" s="64">
        <f t="shared" si="270"/>
        <v>2417172.6030661487</v>
      </c>
      <c r="GC172" s="66">
        <f>IF(FN172&lt;=0,0,FN172-#REF!)</f>
        <v>0</v>
      </c>
      <c r="GD172" s="64">
        <f t="shared" si="271"/>
        <v>1580.6039999999994</v>
      </c>
      <c r="GE172"/>
      <c r="GF172"/>
      <c r="GI172" s="28">
        <f t="shared" si="272"/>
        <v>2113</v>
      </c>
      <c r="GJ172" s="9">
        <f>IF($GX$88+$C$10&gt;=GI172,-#REF!,IF(GI172=$GX$88+$C$10+1,$FB$93,0))</f>
        <v>0</v>
      </c>
      <c r="GK172" s="5" t="e">
        <f t="shared" si="273"/>
        <v>#REF!</v>
      </c>
      <c r="GL172" s="5" t="e">
        <f t="shared" si="274"/>
        <v>#REF!</v>
      </c>
      <c r="GM172" s="35" t="e">
        <f>IF(FX171=$GF$94,#REF!-GR171+FW171,0)</f>
        <v>#REF!</v>
      </c>
      <c r="GN172" s="4" t="e">
        <f t="shared" si="204"/>
        <v>#REF!</v>
      </c>
      <c r="GO172" s="5" t="e">
        <f t="shared" si="275"/>
        <v>#REF!</v>
      </c>
      <c r="GP172" s="5" t="e">
        <f t="shared" si="205"/>
        <v>#REF!</v>
      </c>
      <c r="GQ172" s="5" t="e">
        <f t="shared" si="276"/>
        <v>#REF!</v>
      </c>
      <c r="GR172" s="4" t="e">
        <f t="shared" si="206"/>
        <v>#REF!</v>
      </c>
      <c r="GS172" s="7" t="e">
        <f t="shared" si="277"/>
        <v>#REF!</v>
      </c>
      <c r="GT172" s="107" t="e">
        <f>IF($DG$62=0,EX172,IF(GI172-$C$10+1&lt;=$GF$98,0,#REF!-FX172))</f>
        <v>#REF!</v>
      </c>
      <c r="GU172"/>
      <c r="GV172"/>
      <c r="GW172"/>
      <c r="GX172"/>
    </row>
    <row r="173" spans="2:206" ht="16.149999999999999" thickBot="1" x14ac:dyDescent="0.55000000000000004">
      <c r="B173" s="333"/>
      <c r="C173" s="75"/>
      <c r="D173" s="75"/>
      <c r="F173" s="75"/>
      <c r="G173" s="75"/>
      <c r="H173" s="75"/>
      <c r="I173" s="75"/>
      <c r="J173" s="75"/>
      <c r="K173" s="75"/>
      <c r="L173" s="75"/>
      <c r="M173" s="75"/>
      <c r="O173" s="75"/>
      <c r="P173" s="75"/>
      <c r="Q173" s="75"/>
      <c r="R173" s="75"/>
      <c r="S173" s="290"/>
      <c r="T173" s="291"/>
      <c r="U173" s="291"/>
      <c r="V173" s="292"/>
      <c r="W173" s="292"/>
      <c r="AB173" s="117">
        <f t="shared" si="207"/>
        <v>121</v>
      </c>
      <c r="AC173" s="117">
        <f t="shared" si="208"/>
        <v>2114</v>
      </c>
      <c r="AD173" s="299">
        <f>IF($C$20="NEIN",$C$21,IF($C$22="JA",'HISTORISCHE RENDITEN'!E97,'HISTORISCHE RENDITEN'!D97))</f>
        <v>0.25190000000000001</v>
      </c>
      <c r="AE173" s="129">
        <f t="shared" si="278"/>
        <v>121</v>
      </c>
      <c r="AF173" s="120">
        <f t="shared" si="280"/>
        <v>2114</v>
      </c>
      <c r="AG173" s="122">
        <f t="shared" si="281"/>
        <v>0</v>
      </c>
      <c r="AH173" s="124">
        <f t="shared" si="282"/>
        <v>430891.77838569693</v>
      </c>
      <c r="AI173" s="296">
        <f t="shared" si="283"/>
        <v>-5399299.8251107279</v>
      </c>
      <c r="AJ173" s="123">
        <f t="shared" si="233"/>
        <v>0</v>
      </c>
      <c r="AK173" s="124">
        <f t="shared" si="284"/>
        <v>-6759383.45105612</v>
      </c>
      <c r="AL173" s="122">
        <f t="shared" si="285"/>
        <v>-1360083.6259453921</v>
      </c>
      <c r="AM173" s="122" t="b">
        <f>IF($C$25="Ausschütter",0,IF(AL173&gt;=0,(AI173+AJ173)*$C$48*0.7))</f>
        <v>0</v>
      </c>
      <c r="AN173" s="122">
        <f t="shared" si="177"/>
        <v>0</v>
      </c>
      <c r="AO173" s="122">
        <f t="shared" si="212"/>
        <v>0</v>
      </c>
      <c r="AP173" s="122">
        <f t="shared" si="286"/>
        <v>15573.090878077488</v>
      </c>
      <c r="AQ173" s="122">
        <f>IF($C$25="AUSSCHÜTTER",0,IF(AO173*$C$46*$C$49&lt;=$C$47,0,AO173*$C$46*$C$49))</f>
        <v>0</v>
      </c>
      <c r="AR173" s="122">
        <f>IF(AO172*$C$49&gt;$C$47,(AN173)*$C$49*$C$46,IF((AO172+AN173)*$C$49&gt;$C$47,((AO172+AN173)*$C$49-$C$47)*$C$46,0))</f>
        <v>0</v>
      </c>
      <c r="AS173" s="122">
        <f t="shared" si="287"/>
        <v>0</v>
      </c>
      <c r="AT173" s="122">
        <f t="shared" si="288"/>
        <v>430891.77838569693</v>
      </c>
      <c r="AU173" s="122">
        <f t="shared" si="289"/>
        <v>0</v>
      </c>
      <c r="AV173" s="122">
        <f t="shared" si="290"/>
        <v>-6759383.45105612</v>
      </c>
      <c r="AW173" s="122">
        <f t="shared" si="214"/>
        <v>0</v>
      </c>
      <c r="AX173" s="130">
        <f t="shared" si="215"/>
        <v>0</v>
      </c>
      <c r="AY173" s="82">
        <f>IF(AF173&lt;$C$11,$C$15*(1+$C$19)^(AF173-$C$10),0)</f>
        <v>0</v>
      </c>
      <c r="AZ173" s="82">
        <f>$C$14*(1+$C$37)^(AF173-$C$10)</f>
        <v>178892.43953913203</v>
      </c>
      <c r="BA173" s="165">
        <f>IF(AF173&lt;$C$11,0,MAX($C$38*AI173,AZ173))</f>
        <v>178892.43953913203</v>
      </c>
      <c r="BB173" s="82">
        <f>IF(AF173&lt;$C$11,0,MAX($C$38*AI173,AZ173))</f>
        <v>178892.43953913203</v>
      </c>
      <c r="BC173" s="136">
        <f>IF($C$39="JA",CT173,DG173)</f>
        <v>47182.880928446073</v>
      </c>
      <c r="BD173" s="82">
        <f t="shared" si="178"/>
        <v>0</v>
      </c>
      <c r="BE173" s="82">
        <f>IF(AF173&lt;($C$8+$C$30),0,$C$29*12*(1-$C$31))</f>
        <v>0</v>
      </c>
      <c r="BF173" s="82">
        <f>IF(AF173&lt;($C$8+$C$34),0,$C$33*12*(1-$C$35))</f>
        <v>0</v>
      </c>
      <c r="BG173" s="82">
        <f>IF(AF173&lt;$C$11,0,IF(AI173&lt;0,$C$42*(1+$C$44)^(AF173-$C$10),IF(((AL173+BE173+BF173)*$C$41)&lt;$C$42*(1+$C$44)^(AF173-$C$10),$C$42*(1+$C$44)^(AF173-$C$10),IF(((AL173+BE173+BF173)*$C$41)&lt;$C$43*(1+$C$44)^(AF173-$C$10),(AL173+BE173+BF173)*$C$41,IF(((AL173+BE173+BF173+BB173)*$C$41)&lt;$C$43*(1+$C$44)^(AF173-$C$10),((AL173+BE173+BF173+BB173)*$C$41),$C$43*(1+$C$44)^(AF173-$C$10))))))</f>
        <v>9584.140482339395</v>
      </c>
      <c r="BH173" s="82">
        <f t="shared" si="238"/>
        <v>235659.4609499175</v>
      </c>
      <c r="BI173" s="242">
        <f t="shared" si="291"/>
        <v>-6759383.45105612</v>
      </c>
      <c r="BJ173" s="217">
        <f t="shared" si="292"/>
        <v>-6995042.9120060373</v>
      </c>
      <c r="BK173" s="118"/>
      <c r="BL173" s="219">
        <f t="shared" si="293"/>
        <v>77</v>
      </c>
      <c r="BM173" s="220">
        <f t="shared" si="294"/>
        <v>94</v>
      </c>
      <c r="BN173" s="220">
        <f t="shared" si="295"/>
        <v>0</v>
      </c>
      <c r="BO173" s="221">
        <f t="shared" si="296"/>
        <v>0</v>
      </c>
      <c r="BP173" s="221">
        <f t="shared" si="297"/>
        <v>0</v>
      </c>
      <c r="BQ173" s="222">
        <f t="shared" si="298"/>
        <v>0</v>
      </c>
      <c r="BR173" s="223">
        <f>IF(BM173&lt;$C$11-$C$10+1,0,IF(BL173&lt;=$C$13,VLOOKUP(BL173,$BN$80:$BQ$156,2,FALSE)-BS173,0))</f>
        <v>0</v>
      </c>
      <c r="BS173" s="223">
        <f>IF(BM173&lt;$C$11-$C$10+1,0,IF(BL173&lt;=$C$13,VLOOKUP(BL173,$BN$80:$BQ$156,3,FALSE),0))</f>
        <v>0</v>
      </c>
      <c r="BT173" s="222">
        <f>IF(BM173&lt;$C$11-$C$10+1,0,IF(BL173&lt;=$C$13,VLOOKUP(BL173,$BN$80:$BQ$156,4,FALSE),0))</f>
        <v>0</v>
      </c>
      <c r="BU173" s="223">
        <f t="shared" si="299"/>
        <v>0</v>
      </c>
      <c r="BV173" s="223">
        <f t="shared" si="300"/>
        <v>0</v>
      </c>
      <c r="BW173" s="223">
        <f t="shared" si="301"/>
        <v>0</v>
      </c>
      <c r="BX173" s="223">
        <f>IF(AND(BS173&lt;=0,BN173=0),MIN((MAX($BZ$80:$BZ$156)-SUM($BX$80:BX172)),CA173),IF(BS173&lt;CA173,BS173,CA173))</f>
        <v>0</v>
      </c>
      <c r="BY173" s="222">
        <f>IF(BN173&gt;0,0,IF(AND(BN173=0,BT173&lt;=0),100%,((BW172*(AVERAGE($BT$80:BT172))+(BR173*BT173))/(BR173+BW172+BS173+BV172))))</f>
        <v>1</v>
      </c>
      <c r="BZ173" s="139">
        <f t="shared" si="302"/>
        <v>430891.77838569693</v>
      </c>
      <c r="CA173" s="122">
        <f t="shared" si="303"/>
        <v>178892.43953913203</v>
      </c>
      <c r="CB173" s="181">
        <f t="shared" si="304"/>
        <v>1</v>
      </c>
      <c r="CC173" s="122">
        <f t="shared" si="305"/>
        <v>6426832.5705270544</v>
      </c>
      <c r="CD173" s="182">
        <f t="shared" si="306"/>
        <v>0</v>
      </c>
      <c r="CE173" s="122">
        <f t="shared" si="307"/>
        <v>430891.77838569693</v>
      </c>
      <c r="CF173" s="122">
        <f t="shared" si="308"/>
        <v>0</v>
      </c>
      <c r="CG173" s="122" t="str">
        <f t="shared" si="309"/>
        <v/>
      </c>
      <c r="CH173" s="140">
        <f t="shared" si="310"/>
        <v>1</v>
      </c>
      <c r="CI173" s="142">
        <f t="shared" si="311"/>
        <v>9984</v>
      </c>
      <c r="CJ173" s="134">
        <f>CI173*$C$57</f>
        <v>0</v>
      </c>
      <c r="CK173" s="142">
        <f t="shared" si="312"/>
        <v>14926</v>
      </c>
      <c r="CL173" s="134">
        <f>CK173*$C$57</f>
        <v>0</v>
      </c>
      <c r="CM173" s="142">
        <f t="shared" si="313"/>
        <v>58596</v>
      </c>
      <c r="CN173" s="134">
        <f>CM173*$C$57</f>
        <v>0</v>
      </c>
      <c r="CO173" s="132">
        <f t="shared" si="314"/>
        <v>178892.43953913203</v>
      </c>
      <c r="CP173" s="140">
        <f t="shared" si="315"/>
        <v>0.42</v>
      </c>
      <c r="CQ173" s="121" t="str">
        <f>IF($C$50="NEIN","NEIN",IF(CS173&lt;CR173,"JA","NEIN"))</f>
        <v>NEIN</v>
      </c>
      <c r="CR173" s="121">
        <f>CO173*$C$46</f>
        <v>47182.880928446073</v>
      </c>
      <c r="CS173" s="121">
        <f t="shared" si="316"/>
        <v>65867.294606435447</v>
      </c>
      <c r="CT173" s="201">
        <f>IF($C$50="NEIN",CR173,IF(CQ173="NEIN",CR173,CS173))</f>
        <v>47182.880928446073</v>
      </c>
      <c r="CU173" s="149"/>
      <c r="CV173" s="202">
        <f t="shared" si="317"/>
        <v>9984</v>
      </c>
      <c r="CW173" s="134">
        <f>CV173*$C$57</f>
        <v>0</v>
      </c>
      <c r="CX173" s="142">
        <f t="shared" si="318"/>
        <v>14926</v>
      </c>
      <c r="CY173" s="134">
        <f>CX173*$C$57</f>
        <v>0</v>
      </c>
      <c r="CZ173" s="142">
        <f t="shared" si="319"/>
        <v>58596</v>
      </c>
      <c r="DA173" s="143">
        <f>CZ173*$C$57</f>
        <v>0</v>
      </c>
      <c r="DB173" s="165">
        <f t="shared" si="320"/>
        <v>178892.43953913203</v>
      </c>
      <c r="DC173" s="140">
        <f t="shared" si="321"/>
        <v>0.42</v>
      </c>
      <c r="DD173" s="121" t="str">
        <f>IF($C$50="NEIN","NEIN",IF(DF173&lt;DE173,"JA","NEIN"))</f>
        <v>NEIN</v>
      </c>
      <c r="DE173" s="121">
        <f>DB173*$C$46</f>
        <v>47182.880928446073</v>
      </c>
      <c r="DF173" s="121">
        <f t="shared" si="322"/>
        <v>65867.294606435447</v>
      </c>
      <c r="DG173" s="201">
        <f>IF($C$50="NEIN",DE173,IF(DD173="NEIN",DE173,DF173))</f>
        <v>47182.880928446073</v>
      </c>
      <c r="DH173" s="97"/>
      <c r="DI173" s="125"/>
      <c r="DN173" s="75"/>
      <c r="DO173" s="28">
        <f t="shared" si="247"/>
        <v>2114</v>
      </c>
      <c r="DP173" s="17">
        <f>IF($C$13+$C$10&gt;=DO173,-#REF!,IF(DO173=$C$13+$C$10+1,$EK$93,0))</f>
        <v>0</v>
      </c>
      <c r="DQ173" s="17" t="e">
        <f t="shared" si="248"/>
        <v>#REF!</v>
      </c>
      <c r="DR173" s="17" t="e">
        <f t="shared" si="249"/>
        <v>#REF!</v>
      </c>
      <c r="DS173" s="17" t="e">
        <f>#REF!+EB172</f>
        <v>#REF!</v>
      </c>
      <c r="DT173" s="17" t="e">
        <f t="shared" si="191"/>
        <v>#REF!</v>
      </c>
      <c r="DU173" s="17" t="e">
        <f t="shared" si="250"/>
        <v>#REF!</v>
      </c>
      <c r="DV173" s="33" t="e">
        <f t="shared" si="192"/>
        <v>#REF!</v>
      </c>
      <c r="DW173" s="32" t="e">
        <f t="shared" si="193"/>
        <v>#REF!</v>
      </c>
      <c r="DX173" s="17" t="e">
        <f t="shared" si="251"/>
        <v>#REF!</v>
      </c>
      <c r="DY173" s="17" t="e">
        <f t="shared" si="252"/>
        <v>#REF!</v>
      </c>
      <c r="DZ173" s="17" t="e">
        <f t="shared" si="194"/>
        <v>#REF!</v>
      </c>
      <c r="EA173" s="17" t="e">
        <f t="shared" si="224"/>
        <v>#REF!</v>
      </c>
      <c r="EB173" s="15" t="e">
        <f t="shared" si="225"/>
        <v>#REF!</v>
      </c>
      <c r="EC173" s="15">
        <f>IF(DP173=0,EC172,IF(DO173&lt;=$EK$88+$C$10,ABS(DP173)+EC172,EC172))</f>
        <v>430891.77838569693</v>
      </c>
      <c r="ED173" s="15" t="e">
        <f t="shared" si="253"/>
        <v>#REF!</v>
      </c>
      <c r="EE173" s="16" t="e">
        <f t="shared" si="254"/>
        <v>#REF!</v>
      </c>
      <c r="EF173" s="15" t="e">
        <f>IF(DS173&lt;=0,0,DS173-#REF!)</f>
        <v>#REF!</v>
      </c>
      <c r="EG173" s="15" t="e">
        <f t="shared" si="255"/>
        <v>#REF!</v>
      </c>
      <c r="EH173" s="16"/>
      <c r="EI173" s="16"/>
      <c r="EJ173"/>
      <c r="EK173"/>
      <c r="EL173"/>
      <c r="EM173" s="28">
        <f t="shared" si="256"/>
        <v>2114</v>
      </c>
      <c r="EN173" s="29">
        <f>IF($C$13+$C$10&gt;=EM173,-(#REF!),IF(EM173=$C$13+$C$10+1,$FB$93,0))</f>
        <v>0</v>
      </c>
      <c r="EO173" s="30" t="e">
        <f t="shared" si="257"/>
        <v>#REF!</v>
      </c>
      <c r="EP173" s="30" t="e">
        <f t="shared" si="258"/>
        <v>#REF!</v>
      </c>
      <c r="EQ173" s="30" t="e">
        <f>#REF!-EV172</f>
        <v>#REF!</v>
      </c>
      <c r="ER173" s="25" t="e">
        <f t="shared" si="196"/>
        <v>#REF!</v>
      </c>
      <c r="ES173" s="30" t="e">
        <f t="shared" si="259"/>
        <v>#REF!</v>
      </c>
      <c r="ET173" s="26" t="e">
        <f t="shared" si="197"/>
        <v>#REF!</v>
      </c>
      <c r="EU173" s="30" t="e">
        <f t="shared" si="260"/>
        <v>#REF!</v>
      </c>
      <c r="EV173" s="25" t="e">
        <f t="shared" si="198"/>
        <v>#REF!</v>
      </c>
      <c r="EW173" s="31" t="e">
        <f t="shared" si="261"/>
        <v>#REF!</v>
      </c>
      <c r="EX173" s="27">
        <f>IF(EM173=0,EX172,IF(EM173&lt;=$FB$88+$C$10,ABS(EN173)+EX172,EX172))</f>
        <v>430891.77838569693</v>
      </c>
      <c r="EY173" s="15"/>
      <c r="EZ173"/>
      <c r="FA173"/>
      <c r="FB173"/>
      <c r="FJ173" s="28">
        <f t="shared" si="262"/>
        <v>2114</v>
      </c>
      <c r="FK173" s="65">
        <f>IF($C$13+$C$10&gt;=FJ173,-#REF!,IF(FJ173=$C$13+$C$10+1,$EK$93,0))</f>
        <v>0</v>
      </c>
      <c r="FL173" s="65">
        <f t="shared" si="263"/>
        <v>74118.803999999975</v>
      </c>
      <c r="FM173" s="65">
        <f t="shared" si="264"/>
        <v>5833975.8148161341</v>
      </c>
      <c r="FN173" s="65">
        <f>IF(FY172&gt;=$GF$97,0,#REF!+FW172)</f>
        <v>0</v>
      </c>
      <c r="FO173" s="65">
        <f t="shared" si="199"/>
        <v>6242354.121853264</v>
      </c>
      <c r="FP173" s="65">
        <f t="shared" si="265"/>
        <v>408378.30703713</v>
      </c>
      <c r="FQ173" s="59">
        <f t="shared" si="200"/>
        <v>2858.6481492599055</v>
      </c>
      <c r="FR173" s="60">
        <f t="shared" si="201"/>
        <v>124847.08243706528</v>
      </c>
      <c r="FS173" s="65">
        <f t="shared" si="266"/>
        <v>0</v>
      </c>
      <c r="FT173" s="65">
        <f t="shared" si="267"/>
        <v>0</v>
      </c>
      <c r="FU173" s="65">
        <f t="shared" si="202"/>
        <v>0</v>
      </c>
      <c r="FV173" s="65">
        <f t="shared" si="228"/>
        <v>22838.628844943174</v>
      </c>
      <c r="FW173" s="61">
        <f t="shared" si="229"/>
        <v>102008.45359212211</v>
      </c>
      <c r="FX173" s="61">
        <f>IF(AND(FJ173&lt;=$GF$88+$C$10,FV172&lt;=0,FN173&gt;0),(FJ173-$C$10+1)*#REF!+$GF$80,FX172)</f>
        <v>73074.599999999977</v>
      </c>
      <c r="FY173" s="62">
        <f t="shared" si="230"/>
        <v>108.10481611229176</v>
      </c>
      <c r="FZ173" s="63">
        <f t="shared" si="268"/>
        <v>6242354.121853264</v>
      </c>
      <c r="GA173" s="64">
        <f t="shared" si="269"/>
        <v>119060.73091461498</v>
      </c>
      <c r="GB173" s="64">
        <f t="shared" si="270"/>
        <v>2536233.3339807638</v>
      </c>
      <c r="GC173" s="66">
        <f>IF(FN173&lt;=0,0,FN173-#REF!)</f>
        <v>0</v>
      </c>
      <c r="GD173" s="64">
        <f t="shared" si="271"/>
        <v>1580.6039999999994</v>
      </c>
      <c r="GE173"/>
      <c r="GF173"/>
      <c r="GI173" s="28">
        <f t="shared" si="272"/>
        <v>2114</v>
      </c>
      <c r="GJ173" s="9">
        <f>IF($GX$88+$C$10&gt;=GI173,-#REF!,IF(GI173=$GX$88+$C$10+1,$FB$93,0))</f>
        <v>0</v>
      </c>
      <c r="GK173" s="5" t="e">
        <f t="shared" si="273"/>
        <v>#REF!</v>
      </c>
      <c r="GL173" s="5" t="e">
        <f t="shared" si="274"/>
        <v>#REF!</v>
      </c>
      <c r="GM173" s="35" t="e">
        <f>IF(FX172=$GF$94,#REF!-GR172+FW172,0)</f>
        <v>#REF!</v>
      </c>
      <c r="GN173" s="4" t="e">
        <f t="shared" si="204"/>
        <v>#REF!</v>
      </c>
      <c r="GO173" s="5" t="e">
        <f t="shared" si="275"/>
        <v>#REF!</v>
      </c>
      <c r="GP173" s="5" t="e">
        <f t="shared" si="205"/>
        <v>#REF!</v>
      </c>
      <c r="GQ173" s="5" t="e">
        <f t="shared" si="276"/>
        <v>#REF!</v>
      </c>
      <c r="GR173" s="4" t="e">
        <f t="shared" si="206"/>
        <v>#REF!</v>
      </c>
      <c r="GS173" s="7" t="e">
        <f t="shared" si="277"/>
        <v>#REF!</v>
      </c>
      <c r="GT173" s="107" t="e">
        <f>IF($DG$62=0,EX173,IF(GI173-$C$10+1&lt;=$GF$98,0,#REF!-FX173))</f>
        <v>#REF!</v>
      </c>
      <c r="GU173"/>
      <c r="GV173"/>
      <c r="GW173"/>
      <c r="GX173"/>
    </row>
    <row r="174" spans="2:206" ht="16.149999999999999" thickBot="1" x14ac:dyDescent="0.55000000000000004">
      <c r="B174" s="333"/>
      <c r="C174" s="75"/>
      <c r="D174" s="75"/>
      <c r="F174" s="75"/>
      <c r="G174" s="75"/>
      <c r="H174" s="75"/>
      <c r="I174" s="75"/>
      <c r="J174" s="75"/>
      <c r="K174" s="75"/>
      <c r="L174" s="75"/>
      <c r="M174" s="75"/>
      <c r="O174" s="75"/>
      <c r="P174" s="75"/>
      <c r="Q174" s="75"/>
      <c r="R174" s="75"/>
      <c r="S174" s="290"/>
      <c r="T174" s="291"/>
      <c r="U174" s="291"/>
      <c r="V174" s="292"/>
      <c r="W174" s="292"/>
      <c r="AB174" s="117">
        <f t="shared" si="207"/>
        <v>122</v>
      </c>
      <c r="AC174" s="117">
        <f t="shared" si="208"/>
        <v>2115</v>
      </c>
      <c r="AD174" s="299">
        <f>IF($C$20="NEIN",$C$21,IF($C$22="JA",'HISTORISCHE RENDITEN'!E98,'HISTORISCHE RENDITEN'!D98))</f>
        <v>0.1406</v>
      </c>
      <c r="AE174" s="129">
        <f t="shared" si="278"/>
        <v>122</v>
      </c>
      <c r="AF174" s="120">
        <f t="shared" si="280"/>
        <v>2115</v>
      </c>
      <c r="AG174" s="122">
        <f t="shared" si="281"/>
        <v>0</v>
      </c>
      <c r="AH174" s="124">
        <f t="shared" si="282"/>
        <v>430891.77838569693</v>
      </c>
      <c r="AI174" s="296">
        <f t="shared" si="283"/>
        <v>-6995042.9120060373</v>
      </c>
      <c r="AJ174" s="123">
        <f t="shared" si="233"/>
        <v>0</v>
      </c>
      <c r="AK174" s="124">
        <f t="shared" si="284"/>
        <v>-7978545.945434087</v>
      </c>
      <c r="AL174" s="122">
        <f t="shared" si="285"/>
        <v>-983503.03342804965</v>
      </c>
      <c r="AM174" s="122" t="b">
        <f>IF($C$25="Ausschütter",0,IF(AL174&gt;=0,(AI174+AJ174)*$C$48*0.7))</f>
        <v>0</v>
      </c>
      <c r="AN174" s="122">
        <f t="shared" si="177"/>
        <v>0</v>
      </c>
      <c r="AO174" s="122">
        <f t="shared" si="212"/>
        <v>0</v>
      </c>
      <c r="AP174" s="122">
        <f t="shared" si="286"/>
        <v>15573.090878077488</v>
      </c>
      <c r="AQ174" s="122">
        <f>IF($C$25="AUSSCHÜTTER",0,IF(AO174*$C$46*$C$49&lt;=$C$47,0,AO174*$C$46*$C$49))</f>
        <v>0</v>
      </c>
      <c r="AR174" s="122">
        <f>IF(AO173*$C$49&gt;$C$47,(AN174)*$C$49*$C$46,IF((AO173+AN174)*$C$49&gt;$C$47,((AO173+AN174)*$C$49-$C$47)*$C$46,0))</f>
        <v>0</v>
      </c>
      <c r="AS174" s="122">
        <f t="shared" si="287"/>
        <v>0</v>
      </c>
      <c r="AT174" s="122">
        <f t="shared" si="288"/>
        <v>430891.77838569693</v>
      </c>
      <c r="AU174" s="122">
        <f t="shared" si="289"/>
        <v>0</v>
      </c>
      <c r="AV174" s="122">
        <f t="shared" si="290"/>
        <v>-7978545.945434087</v>
      </c>
      <c r="AW174" s="122">
        <f t="shared" si="214"/>
        <v>0</v>
      </c>
      <c r="AX174" s="130">
        <f t="shared" si="215"/>
        <v>0</v>
      </c>
      <c r="AY174" s="82">
        <f>IF(AF174&lt;$C$11,$C$15*(1+$C$19)^(AF174-$C$10),0)</f>
        <v>0</v>
      </c>
      <c r="AZ174" s="82">
        <f>$C$14*(1+$C$37)^(AF174-$C$10)</f>
        <v>183364.7505276103</v>
      </c>
      <c r="BA174" s="165">
        <f>IF(AF174&lt;$C$11,0,MAX($C$38*AI174,AZ174))</f>
        <v>183364.7505276103</v>
      </c>
      <c r="BB174" s="82">
        <f>IF(AF174&lt;$C$11,0,MAX($C$38*AI174,AZ174))</f>
        <v>183364.7505276103</v>
      </c>
      <c r="BC174" s="136">
        <f>IF($C$39="JA",CT174,DG174)</f>
        <v>48362.452951657215</v>
      </c>
      <c r="BD174" s="82">
        <f t="shared" si="178"/>
        <v>0</v>
      </c>
      <c r="BE174" s="82">
        <f>IF(AF174&lt;($C$8+$C$30),0,$C$29*12*(1-$C$31))</f>
        <v>0</v>
      </c>
      <c r="BF174" s="82">
        <f>IF(AF174&lt;($C$8+$C$34),0,$C$33*12*(1-$C$35))</f>
        <v>0</v>
      </c>
      <c r="BG174" s="82">
        <f>IF(AF174&lt;$C$11,0,IF(AI174&lt;0,$C$42*(1+$C$44)^(AF174-$C$10),IF(((AL174+BE174+BF174)*$C$41)&lt;$C$42*(1+$C$44)^(AF174-$C$10),$C$42*(1+$C$44)^(AF174-$C$10),IF(((AL174+BE174+BF174)*$C$41)&lt;$C$43*(1+$C$44)^(AF174-$C$10),(AL174+BE174+BF174)*$C$41,IF(((AL174+BE174+BF174+BB174)*$C$41)&lt;$C$43*(1+$C$44)^(AF174-$C$10),((AL174+BE174+BF174+BB174)*$C$41),$C$43*(1+$C$44)^(AF174-$C$10))))))</f>
        <v>9727.9025895744835</v>
      </c>
      <c r="BH174" s="82">
        <f t="shared" si="238"/>
        <v>241455.106068842</v>
      </c>
      <c r="BI174" s="242">
        <f t="shared" si="291"/>
        <v>-7978545.945434087</v>
      </c>
      <c r="BJ174" s="217">
        <f t="shared" si="292"/>
        <v>-8220001.0515029291</v>
      </c>
      <c r="BK174" s="118"/>
      <c r="BL174" s="219">
        <f t="shared" si="293"/>
        <v>78</v>
      </c>
      <c r="BM174" s="220">
        <f t="shared" si="294"/>
        <v>95</v>
      </c>
      <c r="BN174" s="220">
        <f t="shared" si="295"/>
        <v>0</v>
      </c>
      <c r="BO174" s="221">
        <f t="shared" si="296"/>
        <v>0</v>
      </c>
      <c r="BP174" s="221">
        <f t="shared" si="297"/>
        <v>0</v>
      </c>
      <c r="BQ174" s="222">
        <f t="shared" si="298"/>
        <v>0</v>
      </c>
      <c r="BR174" s="223">
        <f>IF(BM174&lt;$C$11-$C$10+1,0,IF(BL174&lt;=$C$13,VLOOKUP(BL174,$BN$80:$BQ$156,2,FALSE)-BS174,0))</f>
        <v>0</v>
      </c>
      <c r="BS174" s="223">
        <f>IF(BM174&lt;$C$11-$C$10+1,0,IF(BL174&lt;=$C$13,VLOOKUP(BL174,$BN$80:$BQ$156,3,FALSE),0))</f>
        <v>0</v>
      </c>
      <c r="BT174" s="222">
        <f>IF(BM174&lt;$C$11-$C$10+1,0,IF(BL174&lt;=$C$13,VLOOKUP(BL174,$BN$80:$BQ$156,4,FALSE),0))</f>
        <v>0</v>
      </c>
      <c r="BU174" s="223">
        <f t="shared" si="299"/>
        <v>0</v>
      </c>
      <c r="BV174" s="223">
        <f t="shared" si="300"/>
        <v>0</v>
      </c>
      <c r="BW174" s="223">
        <f t="shared" si="301"/>
        <v>0</v>
      </c>
      <c r="BX174" s="223">
        <f>IF(AND(BS174&lt;=0,BN174=0),MIN((MAX($BZ$80:$BZ$156)-SUM($BX$80:BX173)),CA174),IF(BS174&lt;CA174,BS174,CA174))</f>
        <v>0</v>
      </c>
      <c r="BY174" s="222">
        <f>IF(BN174&gt;0,0,IF(AND(BN174=0,BT174&lt;=0),100%,((BW173*(AVERAGE($BT$80:BT173))+(BR174*BT174))/(BR174+BW173+BS174+BV173))))</f>
        <v>1</v>
      </c>
      <c r="BZ174" s="139">
        <f t="shared" si="302"/>
        <v>430891.77838569693</v>
      </c>
      <c r="CA174" s="122">
        <f t="shared" si="303"/>
        <v>183364.7505276103</v>
      </c>
      <c r="CB174" s="181">
        <f t="shared" si="304"/>
        <v>1</v>
      </c>
      <c r="CC174" s="122">
        <f t="shared" si="305"/>
        <v>6610197.3210546644</v>
      </c>
      <c r="CD174" s="182">
        <f t="shared" si="306"/>
        <v>0</v>
      </c>
      <c r="CE174" s="122">
        <f t="shared" si="307"/>
        <v>430891.77838569693</v>
      </c>
      <c r="CF174" s="122">
        <f t="shared" si="308"/>
        <v>0</v>
      </c>
      <c r="CG174" s="122" t="str">
        <f t="shared" si="309"/>
        <v/>
      </c>
      <c r="CH174" s="140">
        <f t="shared" si="310"/>
        <v>1</v>
      </c>
      <c r="CI174" s="142">
        <f t="shared" si="311"/>
        <v>9984</v>
      </c>
      <c r="CJ174" s="134">
        <f>CI174*$C$57</f>
        <v>0</v>
      </c>
      <c r="CK174" s="142">
        <f t="shared" si="312"/>
        <v>14926</v>
      </c>
      <c r="CL174" s="134">
        <f>CK174*$C$57</f>
        <v>0</v>
      </c>
      <c r="CM174" s="142">
        <f t="shared" si="313"/>
        <v>58596</v>
      </c>
      <c r="CN174" s="134">
        <f>CM174*$C$57</f>
        <v>0</v>
      </c>
      <c r="CO174" s="132">
        <f t="shared" si="314"/>
        <v>183364.7505276103</v>
      </c>
      <c r="CP174" s="140">
        <f t="shared" si="315"/>
        <v>0.42</v>
      </c>
      <c r="CQ174" s="121" t="str">
        <f>IF($C$50="NEIN","NEIN",IF(CS174&lt;CR174,"JA","NEIN"))</f>
        <v>NEIN</v>
      </c>
      <c r="CR174" s="121">
        <f>CO174*$C$46</f>
        <v>48362.452951657215</v>
      </c>
      <c r="CS174" s="121">
        <f t="shared" si="316"/>
        <v>67745.665221596326</v>
      </c>
      <c r="CT174" s="201">
        <f>IF($C$50="NEIN",CR174,IF(CQ174="NEIN",CR174,CS174))</f>
        <v>48362.452951657215</v>
      </c>
      <c r="CU174" s="149"/>
      <c r="CV174" s="202">
        <f t="shared" si="317"/>
        <v>9984</v>
      </c>
      <c r="CW174" s="134">
        <f>CV174*$C$57</f>
        <v>0</v>
      </c>
      <c r="CX174" s="142">
        <f t="shared" si="318"/>
        <v>14926</v>
      </c>
      <c r="CY174" s="134">
        <f>CX174*$C$57</f>
        <v>0</v>
      </c>
      <c r="CZ174" s="142">
        <f t="shared" si="319"/>
        <v>58596</v>
      </c>
      <c r="DA174" s="143">
        <f>CZ174*$C$57</f>
        <v>0</v>
      </c>
      <c r="DB174" s="165">
        <f t="shared" si="320"/>
        <v>183364.7505276103</v>
      </c>
      <c r="DC174" s="140">
        <f t="shared" si="321"/>
        <v>0.42</v>
      </c>
      <c r="DD174" s="121" t="str">
        <f>IF($C$50="NEIN","NEIN",IF(DF174&lt;DE174,"JA","NEIN"))</f>
        <v>NEIN</v>
      </c>
      <c r="DE174" s="121">
        <f>DB174*$C$46</f>
        <v>48362.452951657215</v>
      </c>
      <c r="DF174" s="121">
        <f t="shared" si="322"/>
        <v>67745.665221596326</v>
      </c>
      <c r="DG174" s="201">
        <f>IF($C$50="NEIN",DE174,IF(DD174="NEIN",DE174,DF174))</f>
        <v>48362.452951657215</v>
      </c>
      <c r="DH174" s="97"/>
      <c r="DI174" s="125"/>
      <c r="DN174" s="75"/>
      <c r="DO174" s="28">
        <f t="shared" si="247"/>
        <v>2115</v>
      </c>
      <c r="DP174" s="17">
        <f>IF($C$13+$C$10&gt;=DO174,-#REF!,IF(DO174=$C$13+$C$10+1,$EK$93,0))</f>
        <v>0</v>
      </c>
      <c r="DQ174" s="17" t="e">
        <f t="shared" si="248"/>
        <v>#REF!</v>
      </c>
      <c r="DR174" s="17" t="e">
        <f t="shared" si="249"/>
        <v>#REF!</v>
      </c>
      <c r="DS174" s="17" t="e">
        <f>#REF!+EB173</f>
        <v>#REF!</v>
      </c>
      <c r="DT174" s="17" t="e">
        <f t="shared" si="191"/>
        <v>#REF!</v>
      </c>
      <c r="DU174" s="17" t="e">
        <f t="shared" si="250"/>
        <v>#REF!</v>
      </c>
      <c r="DV174" s="33" t="e">
        <f t="shared" si="192"/>
        <v>#REF!</v>
      </c>
      <c r="DW174" s="32" t="e">
        <f t="shared" si="193"/>
        <v>#REF!</v>
      </c>
      <c r="DX174" s="17" t="e">
        <f t="shared" si="251"/>
        <v>#REF!</v>
      </c>
      <c r="DY174" s="17" t="e">
        <f t="shared" si="252"/>
        <v>#REF!</v>
      </c>
      <c r="DZ174" s="17" t="e">
        <f t="shared" si="194"/>
        <v>#REF!</v>
      </c>
      <c r="EA174" s="17" t="e">
        <f t="shared" si="224"/>
        <v>#REF!</v>
      </c>
      <c r="EB174" s="15" t="e">
        <f t="shared" si="225"/>
        <v>#REF!</v>
      </c>
      <c r="EC174" s="15">
        <f>IF(DP174=0,EC173,IF(DO174&lt;=$EK$88+$C$10,ABS(DP174)+EC173,EC173))</f>
        <v>430891.77838569693</v>
      </c>
      <c r="ED174" s="15" t="e">
        <f t="shared" si="253"/>
        <v>#REF!</v>
      </c>
      <c r="EE174" s="16" t="e">
        <f t="shared" si="254"/>
        <v>#REF!</v>
      </c>
      <c r="EF174" s="15" t="e">
        <f>IF(DS174&lt;=0,0,DS174-#REF!)</f>
        <v>#REF!</v>
      </c>
      <c r="EG174" s="15" t="e">
        <f t="shared" si="255"/>
        <v>#REF!</v>
      </c>
      <c r="EH174" s="16"/>
      <c r="EI174" s="16"/>
      <c r="EJ174"/>
      <c r="EK174"/>
      <c r="EL174"/>
      <c r="EM174" s="28">
        <f t="shared" si="256"/>
        <v>2115</v>
      </c>
      <c r="EN174" s="29">
        <f>IF($C$13+$C$10&gt;=EM174,-(#REF!),IF(EM174=$C$13+$C$10+1,$FB$93,0))</f>
        <v>0</v>
      </c>
      <c r="EO174" s="30" t="e">
        <f t="shared" si="257"/>
        <v>#REF!</v>
      </c>
      <c r="EP174" s="30" t="e">
        <f t="shared" si="258"/>
        <v>#REF!</v>
      </c>
      <c r="EQ174" s="30" t="e">
        <f>#REF!-EV173</f>
        <v>#REF!</v>
      </c>
      <c r="ER174" s="25" t="e">
        <f t="shared" si="196"/>
        <v>#REF!</v>
      </c>
      <c r="ES174" s="30" t="e">
        <f t="shared" si="259"/>
        <v>#REF!</v>
      </c>
      <c r="ET174" s="26" t="e">
        <f t="shared" si="197"/>
        <v>#REF!</v>
      </c>
      <c r="EU174" s="30" t="e">
        <f t="shared" si="260"/>
        <v>#REF!</v>
      </c>
      <c r="EV174" s="25" t="e">
        <f t="shared" si="198"/>
        <v>#REF!</v>
      </c>
      <c r="EW174" s="31" t="e">
        <f t="shared" si="261"/>
        <v>#REF!</v>
      </c>
      <c r="EX174" s="27">
        <f>IF(EM174=0,EX173,IF(EM174&lt;=$FB$88+$C$10,ABS(EN174)+EX173,EX173))</f>
        <v>430891.77838569693</v>
      </c>
      <c r="EY174" s="15"/>
      <c r="EZ174"/>
      <c r="FA174"/>
      <c r="FB174"/>
      <c r="FJ174" s="28">
        <f t="shared" si="262"/>
        <v>2115</v>
      </c>
      <c r="FK174" s="65">
        <f>IF($C$13+$C$10&gt;=FJ174,-#REF!,IF(FJ174=$C$13+$C$10+1,$EK$93,0))</f>
        <v>0</v>
      </c>
      <c r="FL174" s="65">
        <f t="shared" si="263"/>
        <v>74118.803999999975</v>
      </c>
      <c r="FM174" s="65">
        <f t="shared" si="264"/>
        <v>6117507.0394161986</v>
      </c>
      <c r="FN174" s="65">
        <f>IF(FY173&gt;=$GF$97,0,#REF!+FW173)</f>
        <v>0</v>
      </c>
      <c r="FO174" s="65">
        <f t="shared" si="199"/>
        <v>6545732.5321753332</v>
      </c>
      <c r="FP174" s="65">
        <f t="shared" si="265"/>
        <v>428225.49275913462</v>
      </c>
      <c r="FQ174" s="59">
        <f t="shared" si="200"/>
        <v>2997.5784493139372</v>
      </c>
      <c r="FR174" s="60">
        <f t="shared" si="201"/>
        <v>130914.65064350667</v>
      </c>
      <c r="FS174" s="65">
        <f t="shared" si="266"/>
        <v>0</v>
      </c>
      <c r="FT174" s="65">
        <f t="shared" si="267"/>
        <v>0</v>
      </c>
      <c r="FU174" s="65">
        <f t="shared" si="202"/>
        <v>0</v>
      </c>
      <c r="FV174" s="65">
        <f t="shared" si="228"/>
        <v>23958.853625057414</v>
      </c>
      <c r="FW174" s="61">
        <f t="shared" si="229"/>
        <v>106955.79701844926</v>
      </c>
      <c r="FX174" s="61">
        <f>IF(AND(FJ174&lt;=$GF$88+$C$10,FV173&lt;=0,FN174&gt;0),(FJ174-$C$10+1)*#REF!+$GF$80,FX173)</f>
        <v>73074.599999999977</v>
      </c>
      <c r="FY174" s="62">
        <f t="shared" si="230"/>
        <v>113.40731017534914</v>
      </c>
      <c r="FZ174" s="63">
        <f t="shared" si="268"/>
        <v>6545732.5321753332</v>
      </c>
      <c r="GA174" s="64">
        <f t="shared" si="269"/>
        <v>124847.08243706528</v>
      </c>
      <c r="GB174" s="64">
        <f t="shared" si="270"/>
        <v>2661080.4164178292</v>
      </c>
      <c r="GC174" s="66">
        <f>IF(FN174&lt;=0,0,FN174-#REF!)</f>
        <v>0</v>
      </c>
      <c r="GD174" s="64">
        <f t="shared" si="271"/>
        <v>1580.6039999999994</v>
      </c>
      <c r="GE174"/>
      <c r="GF174"/>
      <c r="GI174" s="28">
        <f t="shared" si="272"/>
        <v>2115</v>
      </c>
      <c r="GJ174" s="9">
        <f>IF($GX$88+$C$10&gt;=GI174,-#REF!,IF(GI174=$GX$88+$C$10+1,$FB$93,0))</f>
        <v>0</v>
      </c>
      <c r="GK174" s="5" t="e">
        <f t="shared" si="273"/>
        <v>#REF!</v>
      </c>
      <c r="GL174" s="5" t="e">
        <f t="shared" si="274"/>
        <v>#REF!</v>
      </c>
      <c r="GM174" s="35" t="e">
        <f>IF(FX173=$GF$94,#REF!-GR173+FW173,0)</f>
        <v>#REF!</v>
      </c>
      <c r="GN174" s="4" t="e">
        <f t="shared" si="204"/>
        <v>#REF!</v>
      </c>
      <c r="GO174" s="5" t="e">
        <f t="shared" si="275"/>
        <v>#REF!</v>
      </c>
      <c r="GP174" s="5" t="e">
        <f t="shared" si="205"/>
        <v>#REF!</v>
      </c>
      <c r="GQ174" s="5" t="e">
        <f t="shared" si="276"/>
        <v>#REF!</v>
      </c>
      <c r="GR174" s="4" t="e">
        <f t="shared" si="206"/>
        <v>#REF!</v>
      </c>
      <c r="GS174" s="7" t="e">
        <f t="shared" si="277"/>
        <v>#REF!</v>
      </c>
      <c r="GT174" s="107" t="e">
        <f>IF($DG$62=0,EX174,IF(GI174-$C$10+1&lt;=$GF$98,0,#REF!-FX174))</f>
        <v>#REF!</v>
      </c>
      <c r="GU174"/>
      <c r="GV174"/>
      <c r="GW174"/>
      <c r="GX174"/>
    </row>
    <row r="175" spans="2:206" ht="16.149999999999999" thickBot="1" x14ac:dyDescent="0.55000000000000004">
      <c r="B175" s="333"/>
      <c r="C175" s="75"/>
      <c r="D175" s="75"/>
      <c r="F175" s="75"/>
      <c r="G175" s="75"/>
      <c r="H175" s="75"/>
      <c r="I175" s="75"/>
      <c r="J175" s="75"/>
      <c r="K175" s="75"/>
      <c r="L175" s="75"/>
      <c r="M175" s="75"/>
      <c r="O175" s="75"/>
      <c r="P175" s="75"/>
      <c r="Q175" s="75"/>
      <c r="R175" s="75"/>
      <c r="S175" s="290"/>
      <c r="T175" s="291"/>
      <c r="U175" s="291"/>
      <c r="V175" s="292"/>
      <c r="W175" s="292"/>
      <c r="AB175" s="117">
        <f t="shared" si="207"/>
        <v>123</v>
      </c>
      <c r="AC175" s="117">
        <f t="shared" si="208"/>
        <v>2116</v>
      </c>
      <c r="AD175" s="299">
        <f>IF($C$20="NEIN",$C$21,IF($C$22="JA",'HISTORISCHE RENDITEN'!E99,'HISTORISCHE RENDITEN'!D99))</f>
        <v>0.2014</v>
      </c>
      <c r="AE175" s="129">
        <f t="shared" si="278"/>
        <v>123</v>
      </c>
      <c r="AF175" s="120">
        <f t="shared" si="280"/>
        <v>2116</v>
      </c>
      <c r="AG175" s="122">
        <f t="shared" si="281"/>
        <v>0</v>
      </c>
      <c r="AH175" s="124">
        <f t="shared" si="282"/>
        <v>430891.77838569693</v>
      </c>
      <c r="AI175" s="296">
        <f t="shared" si="283"/>
        <v>-8220001.0515029291</v>
      </c>
      <c r="AJ175" s="123">
        <f t="shared" si="233"/>
        <v>0</v>
      </c>
      <c r="AK175" s="124">
        <f t="shared" si="284"/>
        <v>-9875509.2632756196</v>
      </c>
      <c r="AL175" s="122">
        <f t="shared" si="285"/>
        <v>-1655508.2117726905</v>
      </c>
      <c r="AM175" s="122" t="b">
        <f>IF($C$25="Ausschütter",0,IF(AL175&gt;=0,(AI175+AJ175)*$C$48*0.7))</f>
        <v>0</v>
      </c>
      <c r="AN175" s="122">
        <f t="shared" si="177"/>
        <v>0</v>
      </c>
      <c r="AO175" s="122">
        <f t="shared" si="212"/>
        <v>0</v>
      </c>
      <c r="AP175" s="122">
        <f t="shared" si="286"/>
        <v>15573.090878077488</v>
      </c>
      <c r="AQ175" s="122">
        <f>IF($C$25="AUSSCHÜTTER",0,IF(AO175*$C$46*$C$49&lt;=$C$47,0,AO175*$C$46*$C$49))</f>
        <v>0</v>
      </c>
      <c r="AR175" s="122">
        <f>IF(AO174*$C$49&gt;$C$47,(AN175)*$C$49*$C$46,IF((AO174+AN175)*$C$49&gt;$C$47,((AO174+AN175)*$C$49-$C$47)*$C$46,0))</f>
        <v>0</v>
      </c>
      <c r="AS175" s="122">
        <f t="shared" si="287"/>
        <v>0</v>
      </c>
      <c r="AT175" s="122">
        <f t="shared" si="288"/>
        <v>430891.77838569693</v>
      </c>
      <c r="AU175" s="122">
        <f t="shared" si="289"/>
        <v>0</v>
      </c>
      <c r="AV175" s="122">
        <f t="shared" si="290"/>
        <v>-9875509.2632756196</v>
      </c>
      <c r="AW175" s="122">
        <f t="shared" si="214"/>
        <v>0</v>
      </c>
      <c r="AX175" s="130">
        <f t="shared" si="215"/>
        <v>0</v>
      </c>
      <c r="AY175" s="82">
        <f>IF(AF175&lt;$C$11,$C$15*(1+$C$19)^(AF175-$C$10),0)</f>
        <v>0</v>
      </c>
      <c r="AZ175" s="82">
        <f>$C$14*(1+$C$37)^(AF175-$C$10)</f>
        <v>187948.86929080062</v>
      </c>
      <c r="BA175" s="165">
        <f>IF(AF175&lt;$C$11,0,MAX($C$38*AI175,AZ175))</f>
        <v>187948.86929080062</v>
      </c>
      <c r="BB175" s="82">
        <f>IF(AF175&lt;$C$11,0,MAX($C$38*AI175,AZ175))</f>
        <v>187948.86929080062</v>
      </c>
      <c r="BC175" s="136">
        <f>IF($C$39="JA",CT175,DG175)</f>
        <v>49571.514275448659</v>
      </c>
      <c r="BD175" s="82">
        <f t="shared" si="178"/>
        <v>0</v>
      </c>
      <c r="BE175" s="82">
        <f>IF(AF175&lt;($C$8+$C$30),0,$C$29*12*(1-$C$31))</f>
        <v>0</v>
      </c>
      <c r="BF175" s="82">
        <f>IF(AF175&lt;($C$8+$C$34),0,$C$33*12*(1-$C$35))</f>
        <v>0</v>
      </c>
      <c r="BG175" s="82">
        <f>IF(AF175&lt;$C$11,0,IF(AI175&lt;0,$C$42*(1+$C$44)^(AF175-$C$10),IF(((AL175+BE175+BF175)*$C$41)&lt;$C$42*(1+$C$44)^(AF175-$C$10),$C$42*(1+$C$44)^(AF175-$C$10),IF(((AL175+BE175+BF175)*$C$41)&lt;$C$43*(1+$C$44)^(AF175-$C$10),(AL175+BE175+BF175)*$C$41,IF(((AL175+BE175+BF175+BB175)*$C$41)&lt;$C$43*(1+$C$44)^(AF175-$C$10),((AL175+BE175+BF175+BB175)*$C$41),$C$43*(1+$C$44)^(AF175-$C$10))))))</f>
        <v>9873.8211284180998</v>
      </c>
      <c r="BH175" s="82">
        <f t="shared" si="238"/>
        <v>247394.20469466737</v>
      </c>
      <c r="BI175" s="242">
        <f t="shared" si="291"/>
        <v>-9875509.2632756196</v>
      </c>
      <c r="BJ175" s="217">
        <f t="shared" si="292"/>
        <v>-10122903.467970287</v>
      </c>
      <c r="BK175" s="118"/>
      <c r="BL175" s="219">
        <f t="shared" si="293"/>
        <v>79</v>
      </c>
      <c r="BM175" s="220">
        <f t="shared" si="294"/>
        <v>96</v>
      </c>
      <c r="BN175" s="220">
        <f t="shared" si="295"/>
        <v>0</v>
      </c>
      <c r="BO175" s="221">
        <f t="shared" si="296"/>
        <v>0</v>
      </c>
      <c r="BP175" s="221">
        <f t="shared" si="297"/>
        <v>0</v>
      </c>
      <c r="BQ175" s="222">
        <f t="shared" si="298"/>
        <v>0</v>
      </c>
      <c r="BR175" s="223">
        <f>IF(BM175&lt;$C$11-$C$10+1,0,IF(BL175&lt;=$C$13,VLOOKUP(BL175,$BN$80:$BQ$156,2,FALSE)-BS175,0))</f>
        <v>0</v>
      </c>
      <c r="BS175" s="223">
        <f>IF(BM175&lt;$C$11-$C$10+1,0,IF(BL175&lt;=$C$13,VLOOKUP(BL175,$BN$80:$BQ$156,3,FALSE),0))</f>
        <v>0</v>
      </c>
      <c r="BT175" s="222">
        <f>IF(BM175&lt;$C$11-$C$10+1,0,IF(BL175&lt;=$C$13,VLOOKUP(BL175,$BN$80:$BQ$156,4,FALSE),0))</f>
        <v>0</v>
      </c>
      <c r="BU175" s="223">
        <f t="shared" si="299"/>
        <v>0</v>
      </c>
      <c r="BV175" s="223">
        <f t="shared" si="300"/>
        <v>0</v>
      </c>
      <c r="BW175" s="223">
        <f t="shared" si="301"/>
        <v>0</v>
      </c>
      <c r="BX175" s="223">
        <f>IF(AND(BS175&lt;=0,BN175=0),MIN((MAX($BZ$80:$BZ$156)-SUM($BX$80:BX174)),CA175),IF(BS175&lt;CA175,BS175,CA175))</f>
        <v>0</v>
      </c>
      <c r="BY175" s="222">
        <f>IF(BN175&gt;0,0,IF(AND(BN175=0,BT175&lt;=0),100%,((BW174*(AVERAGE($BT$80:BT174))+(BR175*BT175))/(BR175+BW174+BS175+BV174))))</f>
        <v>1</v>
      </c>
      <c r="BZ175" s="139">
        <f t="shared" si="302"/>
        <v>430891.77838569693</v>
      </c>
      <c r="CA175" s="122">
        <f t="shared" si="303"/>
        <v>187948.86929080062</v>
      </c>
      <c r="CB175" s="181">
        <f t="shared" si="304"/>
        <v>1</v>
      </c>
      <c r="CC175" s="122">
        <f t="shared" si="305"/>
        <v>6798146.1903454652</v>
      </c>
      <c r="CD175" s="182">
        <f t="shared" si="306"/>
        <v>0</v>
      </c>
      <c r="CE175" s="122">
        <f t="shared" si="307"/>
        <v>430891.77838569693</v>
      </c>
      <c r="CF175" s="122">
        <f t="shared" si="308"/>
        <v>0</v>
      </c>
      <c r="CG175" s="122" t="str">
        <f t="shared" si="309"/>
        <v/>
      </c>
      <c r="CH175" s="140">
        <f t="shared" si="310"/>
        <v>1</v>
      </c>
      <c r="CI175" s="142">
        <f t="shared" si="311"/>
        <v>9984</v>
      </c>
      <c r="CJ175" s="134">
        <f>CI175*$C$57</f>
        <v>0</v>
      </c>
      <c r="CK175" s="142">
        <f t="shared" si="312"/>
        <v>14926</v>
      </c>
      <c r="CL175" s="134">
        <f>CK175*$C$57</f>
        <v>0</v>
      </c>
      <c r="CM175" s="142">
        <f t="shared" si="313"/>
        <v>58596</v>
      </c>
      <c r="CN175" s="134">
        <f>CM175*$C$57</f>
        <v>0</v>
      </c>
      <c r="CO175" s="132">
        <f t="shared" si="314"/>
        <v>187948.86929080062</v>
      </c>
      <c r="CP175" s="140">
        <f t="shared" si="315"/>
        <v>0.42</v>
      </c>
      <c r="CQ175" s="121" t="str">
        <f>IF($C$50="NEIN","NEIN",IF(CS175&lt;CR175,"JA","NEIN"))</f>
        <v>NEIN</v>
      </c>
      <c r="CR175" s="121">
        <f>CO175*$C$46</f>
        <v>49571.514275448659</v>
      </c>
      <c r="CS175" s="121">
        <f t="shared" si="316"/>
        <v>69670.995102136265</v>
      </c>
      <c r="CT175" s="201">
        <f>IF($C$50="NEIN",CR175,IF(CQ175="NEIN",CR175,CS175))</f>
        <v>49571.514275448659</v>
      </c>
      <c r="CU175" s="149"/>
      <c r="CV175" s="202">
        <f t="shared" si="317"/>
        <v>9984</v>
      </c>
      <c r="CW175" s="134">
        <f>CV175*$C$57</f>
        <v>0</v>
      </c>
      <c r="CX175" s="142">
        <f t="shared" si="318"/>
        <v>14926</v>
      </c>
      <c r="CY175" s="134">
        <f>CX175*$C$57</f>
        <v>0</v>
      </c>
      <c r="CZ175" s="142">
        <f t="shared" si="319"/>
        <v>58596</v>
      </c>
      <c r="DA175" s="143">
        <f>CZ175*$C$57</f>
        <v>0</v>
      </c>
      <c r="DB175" s="165">
        <f t="shared" si="320"/>
        <v>187948.86929080062</v>
      </c>
      <c r="DC175" s="140">
        <f t="shared" si="321"/>
        <v>0.42</v>
      </c>
      <c r="DD175" s="121" t="str">
        <f>IF($C$50="NEIN","NEIN",IF(DF175&lt;DE175,"JA","NEIN"))</f>
        <v>NEIN</v>
      </c>
      <c r="DE175" s="121">
        <f>DB175*$C$46</f>
        <v>49571.514275448659</v>
      </c>
      <c r="DF175" s="121">
        <f t="shared" si="322"/>
        <v>69670.995102136265</v>
      </c>
      <c r="DG175" s="201">
        <f>IF($C$50="NEIN",DE175,IF(DD175="NEIN",DE175,DF175))</f>
        <v>49571.514275448659</v>
      </c>
      <c r="DH175" s="97"/>
      <c r="DI175" s="125"/>
      <c r="DN175" s="75"/>
      <c r="DO175" s="28">
        <f t="shared" si="247"/>
        <v>2116</v>
      </c>
      <c r="DP175" s="17">
        <f>IF($C$13+$C$10&gt;=DO175,-#REF!,IF(DO175=$C$13+$C$10+1,$EK$93,0))</f>
        <v>0</v>
      </c>
      <c r="DQ175" s="17" t="e">
        <f t="shared" si="248"/>
        <v>#REF!</v>
      </c>
      <c r="DR175" s="17" t="e">
        <f t="shared" si="249"/>
        <v>#REF!</v>
      </c>
      <c r="DS175" s="17" t="e">
        <f>#REF!+EB174</f>
        <v>#REF!</v>
      </c>
      <c r="DT175" s="17" t="e">
        <f t="shared" si="191"/>
        <v>#REF!</v>
      </c>
      <c r="DU175" s="17" t="e">
        <f t="shared" si="250"/>
        <v>#REF!</v>
      </c>
      <c r="DV175" s="33" t="e">
        <f t="shared" si="192"/>
        <v>#REF!</v>
      </c>
      <c r="DW175" s="32" t="e">
        <f t="shared" si="193"/>
        <v>#REF!</v>
      </c>
      <c r="DX175" s="17" t="e">
        <f t="shared" si="251"/>
        <v>#REF!</v>
      </c>
      <c r="DY175" s="17" t="e">
        <f t="shared" si="252"/>
        <v>#REF!</v>
      </c>
      <c r="DZ175" s="17" t="e">
        <f t="shared" si="194"/>
        <v>#REF!</v>
      </c>
      <c r="EA175" s="17" t="e">
        <f t="shared" si="224"/>
        <v>#REF!</v>
      </c>
      <c r="EB175" s="15" t="e">
        <f t="shared" si="225"/>
        <v>#REF!</v>
      </c>
      <c r="EC175" s="15">
        <f>IF(DP175=0,EC174,IF(DO175&lt;=$EK$88+$C$10,ABS(DP175)+EC174,EC174))</f>
        <v>430891.77838569693</v>
      </c>
      <c r="ED175" s="15" t="e">
        <f t="shared" si="253"/>
        <v>#REF!</v>
      </c>
      <c r="EE175" s="16" t="e">
        <f t="shared" si="254"/>
        <v>#REF!</v>
      </c>
      <c r="EF175" s="15" t="e">
        <f>IF(DS175&lt;=0,0,DS175-#REF!)</f>
        <v>#REF!</v>
      </c>
      <c r="EG175" s="15" t="e">
        <f t="shared" si="255"/>
        <v>#REF!</v>
      </c>
      <c r="EH175" s="16"/>
      <c r="EI175" s="16"/>
      <c r="EJ175"/>
      <c r="EK175"/>
      <c r="EL175"/>
      <c r="EM175" s="28">
        <f t="shared" si="256"/>
        <v>2116</v>
      </c>
      <c r="EN175" s="29">
        <f>IF($C$13+$C$10&gt;=EM175,-(#REF!),IF(EM175=$C$13+$C$10+1,$FB$93,0))</f>
        <v>0</v>
      </c>
      <c r="EO175" s="30" t="e">
        <f t="shared" si="257"/>
        <v>#REF!</v>
      </c>
      <c r="EP175" s="30" t="e">
        <f t="shared" si="258"/>
        <v>#REF!</v>
      </c>
      <c r="EQ175" s="30" t="e">
        <f>#REF!-EV174</f>
        <v>#REF!</v>
      </c>
      <c r="ER175" s="25" t="e">
        <f t="shared" si="196"/>
        <v>#REF!</v>
      </c>
      <c r="ES175" s="30" t="e">
        <f t="shared" si="259"/>
        <v>#REF!</v>
      </c>
      <c r="ET175" s="26" t="e">
        <f t="shared" si="197"/>
        <v>#REF!</v>
      </c>
      <c r="EU175" s="30" t="e">
        <f t="shared" si="260"/>
        <v>#REF!</v>
      </c>
      <c r="EV175" s="25" t="e">
        <f t="shared" si="198"/>
        <v>#REF!</v>
      </c>
      <c r="EW175" s="31" t="e">
        <f t="shared" si="261"/>
        <v>#REF!</v>
      </c>
      <c r="EX175" s="27">
        <f>IF(EM175=0,EX174,IF(EM175&lt;=$FB$88+$C$10,ABS(EN175)+EX174,EX174))</f>
        <v>430891.77838569693</v>
      </c>
      <c r="EY175" s="15"/>
      <c r="EZ175"/>
      <c r="FA175"/>
      <c r="FB175"/>
      <c r="FJ175" s="28">
        <f t="shared" si="262"/>
        <v>2116</v>
      </c>
      <c r="FK175" s="65">
        <f>IF($C$13+$C$10&gt;=FJ175,-#REF!,IF(FJ175=$C$13+$C$10+1,$EK$93,0))</f>
        <v>0</v>
      </c>
      <c r="FL175" s="65">
        <f t="shared" si="263"/>
        <v>74118.803999999975</v>
      </c>
      <c r="FM175" s="65">
        <f t="shared" si="264"/>
        <v>6414817.8815318262</v>
      </c>
      <c r="FN175" s="65">
        <f>IF(FY174&gt;=$GF$97,0,#REF!+FW174)</f>
        <v>0</v>
      </c>
      <c r="FO175" s="65">
        <f t="shared" si="199"/>
        <v>6863855.1332390541</v>
      </c>
      <c r="FP175" s="65">
        <f t="shared" si="265"/>
        <v>449037.2517072279</v>
      </c>
      <c r="FQ175" s="59">
        <f t="shared" si="200"/>
        <v>3143.2607619505948</v>
      </c>
      <c r="FR175" s="60">
        <f t="shared" si="201"/>
        <v>137277.10266478109</v>
      </c>
      <c r="FS175" s="65">
        <f t="shared" si="266"/>
        <v>0</v>
      </c>
      <c r="FT175" s="65">
        <f t="shared" si="267"/>
        <v>0</v>
      </c>
      <c r="FU175" s="65">
        <f t="shared" si="202"/>
        <v>0</v>
      </c>
      <c r="FV175" s="65">
        <f t="shared" si="228"/>
        <v>25133.521329485207</v>
      </c>
      <c r="FW175" s="61">
        <f t="shared" si="229"/>
        <v>112143.58133529589</v>
      </c>
      <c r="FX175" s="61">
        <f>IF(AND(FJ175&lt;=$GF$88+$C$10,FV174&lt;=0,FN175&gt;0),(FJ175-$C$10+1)*#REF!+$GF$80,FX174)</f>
        <v>73074.599999999977</v>
      </c>
      <c r="FY175" s="62">
        <f t="shared" si="230"/>
        <v>118.96750544987111</v>
      </c>
      <c r="FZ175" s="63">
        <f t="shared" si="268"/>
        <v>6863855.1332390541</v>
      </c>
      <c r="GA175" s="64">
        <f t="shared" si="269"/>
        <v>130914.65064350667</v>
      </c>
      <c r="GB175" s="64">
        <f t="shared" si="270"/>
        <v>2791995.0670613358</v>
      </c>
      <c r="GC175" s="66">
        <f>IF(FN175&lt;=0,0,FN175-#REF!)</f>
        <v>0</v>
      </c>
      <c r="GD175" s="64">
        <f t="shared" si="271"/>
        <v>1580.6039999999994</v>
      </c>
      <c r="GE175"/>
      <c r="GF175"/>
      <c r="GI175" s="28">
        <f t="shared" si="272"/>
        <v>2116</v>
      </c>
      <c r="GJ175" s="9">
        <f>IF($GX$88+$C$10&gt;=GI175,-#REF!,IF(GI175=$GX$88+$C$10+1,$FB$93,0))</f>
        <v>0</v>
      </c>
      <c r="GK175" s="5" t="e">
        <f t="shared" si="273"/>
        <v>#REF!</v>
      </c>
      <c r="GL175" s="5" t="e">
        <f t="shared" si="274"/>
        <v>#REF!</v>
      </c>
      <c r="GM175" s="35" t="e">
        <f>IF(FX174=$GF$94,#REF!-GR174+FW174,0)</f>
        <v>#REF!</v>
      </c>
      <c r="GN175" s="4" t="e">
        <f t="shared" si="204"/>
        <v>#REF!</v>
      </c>
      <c r="GO175" s="5" t="e">
        <f t="shared" si="275"/>
        <v>#REF!</v>
      </c>
      <c r="GP175" s="5" t="e">
        <f t="shared" si="205"/>
        <v>#REF!</v>
      </c>
      <c r="GQ175" s="5" t="e">
        <f t="shared" si="276"/>
        <v>#REF!</v>
      </c>
      <c r="GR175" s="4" t="e">
        <f t="shared" si="206"/>
        <v>#REF!</v>
      </c>
      <c r="GS175" s="7" t="e">
        <f t="shared" si="277"/>
        <v>#REF!</v>
      </c>
      <c r="GT175" s="107" t="e">
        <f>IF($DG$62=0,EX175,IF(GI175-$C$10+1&lt;=$GF$98,0,#REF!-FX175))</f>
        <v>#REF!</v>
      </c>
      <c r="GU175"/>
      <c r="GV175"/>
      <c r="GW175"/>
      <c r="GX175"/>
    </row>
    <row r="176" spans="2:206" ht="16.149999999999999" thickBot="1" x14ac:dyDescent="0.55000000000000004">
      <c r="B176" s="333"/>
      <c r="C176" s="75"/>
      <c r="D176" s="75"/>
      <c r="F176" s="75"/>
      <c r="G176" s="75"/>
      <c r="H176" s="75"/>
      <c r="I176" s="75"/>
      <c r="J176" s="75"/>
      <c r="K176" s="75"/>
      <c r="L176" s="75"/>
      <c r="M176" s="75"/>
      <c r="O176" s="75"/>
      <c r="P176" s="75"/>
      <c r="Q176" s="75"/>
      <c r="R176" s="75"/>
      <c r="S176" s="290"/>
      <c r="T176" s="291"/>
      <c r="U176" s="291"/>
      <c r="V176" s="292"/>
      <c r="W176" s="292"/>
      <c r="AB176" s="117">
        <f t="shared" si="207"/>
        <v>124</v>
      </c>
      <c r="AC176" s="117">
        <f t="shared" si="208"/>
        <v>2117</v>
      </c>
      <c r="AD176" s="299">
        <f>IF($C$20="NEIN",$C$21,IF($C$22="JA",'HISTORISCHE RENDITEN'!E100,'HISTORISCHE RENDITEN'!D100))</f>
        <v>-5.7099999999999998E-2</v>
      </c>
      <c r="AE176" s="129">
        <f t="shared" si="278"/>
        <v>124</v>
      </c>
      <c r="AF176" s="120">
        <f t="shared" si="280"/>
        <v>2117</v>
      </c>
      <c r="AG176" s="122">
        <f t="shared" si="281"/>
        <v>0</v>
      </c>
      <c r="AH176" s="124">
        <f t="shared" si="282"/>
        <v>430891.77838569693</v>
      </c>
      <c r="AI176" s="296">
        <f t="shared" si="283"/>
        <v>-10122903.467970287</v>
      </c>
      <c r="AJ176" s="123">
        <f t="shared" si="233"/>
        <v>0</v>
      </c>
      <c r="AK176" s="124">
        <f t="shared" si="284"/>
        <v>-9544885.679949183</v>
      </c>
      <c r="AL176" s="122">
        <f t="shared" si="285"/>
        <v>578017.78802110441</v>
      </c>
      <c r="AM176" s="122">
        <f>IF($C$25="Ausschütter",0,IF(AL176&gt;=0,(AI176+AJ176)*$C$48*0.7))</f>
        <v>-4960.2226993054401</v>
      </c>
      <c r="AN176" s="122">
        <f t="shared" ref="AN176:AN199" si="323">IF($C$25="THESAURIERER",0,AK176*$C$26)</f>
        <v>0</v>
      </c>
      <c r="AO176" s="122">
        <f t="shared" si="212"/>
        <v>-4960.2226993054401</v>
      </c>
      <c r="AP176" s="122">
        <f t="shared" si="286"/>
        <v>10612.868178772049</v>
      </c>
      <c r="AQ176" s="122">
        <f>IF($C$25="AUSSCHÜTTER",0,IF(AO176*$C$46*$C$49&lt;=$C$47,0,AO176*$C$46*$C$49))</f>
        <v>0</v>
      </c>
      <c r="AR176" s="122">
        <f>IF(AO175*$C$49&gt;$C$47,(AN176)*$C$49*$C$46,IF((AO175+AN176)*$C$49&gt;$C$47,((AO175+AN176)*$C$49-$C$47)*$C$46,0))</f>
        <v>0</v>
      </c>
      <c r="AS176" s="122">
        <f t="shared" si="287"/>
        <v>0</v>
      </c>
      <c r="AT176" s="122">
        <f t="shared" si="288"/>
        <v>430891.77838569693</v>
      </c>
      <c r="AU176" s="122">
        <f t="shared" si="289"/>
        <v>0</v>
      </c>
      <c r="AV176" s="122">
        <f t="shared" si="290"/>
        <v>-9544885.679949183</v>
      </c>
      <c r="AW176" s="122">
        <f t="shared" si="214"/>
        <v>0</v>
      </c>
      <c r="AX176" s="130">
        <f t="shared" si="215"/>
        <v>0</v>
      </c>
      <c r="AY176" s="82">
        <f>IF(AF176&lt;$C$11,$C$15*(1+$C$19)^(AF176-$C$10),0)</f>
        <v>0</v>
      </c>
      <c r="AZ176" s="82">
        <f>$C$14*(1+$C$37)^(AF176-$C$10)</f>
        <v>192647.59102307056</v>
      </c>
      <c r="BA176" s="165">
        <f>IF(AF176&lt;$C$11,0,MAX($C$38*AI176,AZ176))</f>
        <v>192647.59102307056</v>
      </c>
      <c r="BB176" s="82">
        <f>IF(AF176&lt;$C$11,0,MAX($C$38*AI176,AZ176))</f>
        <v>192647.59102307056</v>
      </c>
      <c r="BC176" s="136">
        <f>IF($C$39="JA",CT176,DG176)</f>
        <v>50810.802132334858</v>
      </c>
      <c r="BD176" s="82">
        <f t="shared" ref="BD176:BD199" si="324">IF($C$27="JA",0,AS176-AW176)</f>
        <v>0</v>
      </c>
      <c r="BE176" s="82">
        <f>IF(AF176&lt;($C$8+$C$30),0,$C$29*12*(1-$C$31))</f>
        <v>0</v>
      </c>
      <c r="BF176" s="82">
        <f>IF(AF176&lt;($C$8+$C$34),0,$C$33*12*(1-$C$35))</f>
        <v>0</v>
      </c>
      <c r="BG176" s="82">
        <f>IF(AF176&lt;$C$11,0,IF(AI176&lt;0,$C$42*(1+$C$44)^(AF176-$C$10),IF(((AL176+BE176+BF176)*$C$41)&lt;$C$42*(1+$C$44)^(AF176-$C$10),$C$42*(1+$C$44)^(AF176-$C$10),IF(((AL176+BE176+BF176)*$C$41)&lt;$C$43*(1+$C$44)^(AF176-$C$10),(AL176+BE176+BF176)*$C$41,IF(((AL176+BE176+BF176+BB176)*$C$41)&lt;$C$43*(1+$C$44)^(AF176-$C$10),((AL176+BE176+BF176+BB176)*$C$41),$C$43*(1+$C$44)^(AF176-$C$10))))))</f>
        <v>10021.928445344371</v>
      </c>
      <c r="BH176" s="82">
        <f t="shared" si="238"/>
        <v>253480.3216007498</v>
      </c>
      <c r="BI176" s="242">
        <f t="shared" si="291"/>
        <v>-9544885.679949183</v>
      </c>
      <c r="BJ176" s="217">
        <f t="shared" si="292"/>
        <v>-9798366.0015499331</v>
      </c>
      <c r="BK176" s="118"/>
      <c r="BL176" s="219">
        <f t="shared" si="293"/>
        <v>80</v>
      </c>
      <c r="BM176" s="220">
        <f t="shared" si="294"/>
        <v>97</v>
      </c>
      <c r="BN176" s="220">
        <f t="shared" si="295"/>
        <v>0</v>
      </c>
      <c r="BO176" s="221">
        <f t="shared" si="296"/>
        <v>0</v>
      </c>
      <c r="BP176" s="221">
        <f t="shared" si="297"/>
        <v>0</v>
      </c>
      <c r="BQ176" s="222">
        <f t="shared" si="298"/>
        <v>0</v>
      </c>
      <c r="BR176" s="223">
        <f>IF(BM176&lt;$C$11-$C$10+1,0,IF(BL176&lt;=$C$13,VLOOKUP(BL176,$BN$80:$BQ$156,2,FALSE)-BS176,0))</f>
        <v>0</v>
      </c>
      <c r="BS176" s="223">
        <f>IF(BM176&lt;$C$11-$C$10+1,0,IF(BL176&lt;=$C$13,VLOOKUP(BL176,$BN$80:$BQ$156,3,FALSE),0))</f>
        <v>0</v>
      </c>
      <c r="BT176" s="222">
        <f>IF(BM176&lt;$C$11-$C$10+1,0,IF(BL176&lt;=$C$13,VLOOKUP(BL176,$BN$80:$BQ$156,4,FALSE),0))</f>
        <v>0</v>
      </c>
      <c r="BU176" s="223">
        <f t="shared" si="299"/>
        <v>0</v>
      </c>
      <c r="BV176" s="223">
        <f t="shared" si="300"/>
        <v>0</v>
      </c>
      <c r="BW176" s="223">
        <f t="shared" si="301"/>
        <v>0</v>
      </c>
      <c r="BX176" s="223">
        <f>IF(AND(BS176&lt;=0,BN176=0),MIN((MAX($BZ$80:$BZ$156)-SUM($BX$80:BX175)),CA176),IF(BS176&lt;CA176,BS176,CA176))</f>
        <v>0</v>
      </c>
      <c r="BY176" s="222">
        <f>IF(BN176&gt;0,0,IF(AND(BN176=0,BT176&lt;=0),100%,((BW175*(AVERAGE($BT$80:BT175))+(BR176*BT176))/(BR176+BW175+BS176+BV175))))</f>
        <v>1</v>
      </c>
      <c r="BZ176" s="139">
        <f t="shared" si="302"/>
        <v>430891.77838569693</v>
      </c>
      <c r="CA176" s="122">
        <f t="shared" si="303"/>
        <v>192647.59102307056</v>
      </c>
      <c r="CB176" s="181">
        <f t="shared" si="304"/>
        <v>1</v>
      </c>
      <c r="CC176" s="122">
        <f t="shared" si="305"/>
        <v>6990793.7813685359</v>
      </c>
      <c r="CD176" s="182">
        <f t="shared" si="306"/>
        <v>0</v>
      </c>
      <c r="CE176" s="122">
        <f t="shared" si="307"/>
        <v>430891.77838569693</v>
      </c>
      <c r="CF176" s="122">
        <f t="shared" si="308"/>
        <v>0</v>
      </c>
      <c r="CG176" s="122" t="str">
        <f t="shared" si="309"/>
        <v/>
      </c>
      <c r="CH176" s="140">
        <f t="shared" si="310"/>
        <v>1</v>
      </c>
      <c r="CI176" s="142">
        <f t="shared" si="311"/>
        <v>9984</v>
      </c>
      <c r="CJ176" s="134">
        <f>CI176*$C$57</f>
        <v>0</v>
      </c>
      <c r="CK176" s="142">
        <f t="shared" si="312"/>
        <v>14926</v>
      </c>
      <c r="CL176" s="134">
        <f>CK176*$C$57</f>
        <v>0</v>
      </c>
      <c r="CM176" s="142">
        <f t="shared" si="313"/>
        <v>58596</v>
      </c>
      <c r="CN176" s="134">
        <f>CM176*$C$57</f>
        <v>0</v>
      </c>
      <c r="CO176" s="132">
        <f t="shared" si="314"/>
        <v>192647.59102307056</v>
      </c>
      <c r="CP176" s="140">
        <f t="shared" si="315"/>
        <v>0.42</v>
      </c>
      <c r="CQ176" s="121" t="str">
        <f>IF($C$50="NEIN","NEIN",IF(CS176&lt;CR176,"JA","NEIN"))</f>
        <v>NEIN</v>
      </c>
      <c r="CR176" s="121">
        <f>CO176*$C$46</f>
        <v>50810.802132334858</v>
      </c>
      <c r="CS176" s="121">
        <f t="shared" si="316"/>
        <v>71644.458229689641</v>
      </c>
      <c r="CT176" s="201">
        <f>IF($C$50="NEIN",CR176,IF(CQ176="NEIN",CR176,CS176))</f>
        <v>50810.802132334858</v>
      </c>
      <c r="CU176" s="149"/>
      <c r="CV176" s="202">
        <f t="shared" si="317"/>
        <v>9984</v>
      </c>
      <c r="CW176" s="134">
        <f>CV176*$C$57</f>
        <v>0</v>
      </c>
      <c r="CX176" s="142">
        <f t="shared" si="318"/>
        <v>14926</v>
      </c>
      <c r="CY176" s="134">
        <f>CX176*$C$57</f>
        <v>0</v>
      </c>
      <c r="CZ176" s="142">
        <f t="shared" si="319"/>
        <v>58596</v>
      </c>
      <c r="DA176" s="143">
        <f>CZ176*$C$57</f>
        <v>0</v>
      </c>
      <c r="DB176" s="165">
        <f t="shared" si="320"/>
        <v>192647.59102307056</v>
      </c>
      <c r="DC176" s="140">
        <f t="shared" si="321"/>
        <v>0.42</v>
      </c>
      <c r="DD176" s="121" t="str">
        <f>IF($C$50="NEIN","NEIN",IF(DF176&lt;DE176,"JA","NEIN"))</f>
        <v>NEIN</v>
      </c>
      <c r="DE176" s="121">
        <f>DB176*$C$46</f>
        <v>50810.802132334858</v>
      </c>
      <c r="DF176" s="121">
        <f t="shared" si="322"/>
        <v>71644.458229689641</v>
      </c>
      <c r="DG176" s="201">
        <f>IF($C$50="NEIN",DE176,IF(DD176="NEIN",DE176,DF176))</f>
        <v>50810.802132334858</v>
      </c>
      <c r="DH176" s="97"/>
      <c r="DI176" s="125"/>
      <c r="DN176" s="75"/>
      <c r="DO176" s="28">
        <f t="shared" si="247"/>
        <v>2117</v>
      </c>
      <c r="DP176" s="17">
        <f>IF($C$13+$C$10&gt;=DO176,-#REF!,IF(DO176=$C$13+$C$10+1,$EK$93,0))</f>
        <v>0</v>
      </c>
      <c r="DQ176" s="17" t="e">
        <f t="shared" si="248"/>
        <v>#REF!</v>
      </c>
      <c r="DR176" s="17" t="e">
        <f t="shared" si="249"/>
        <v>#REF!</v>
      </c>
      <c r="DS176" s="17" t="e">
        <f>#REF!+EB175</f>
        <v>#REF!</v>
      </c>
      <c r="DT176" s="17" t="e">
        <f t="shared" ref="DT176:DT179" si="325">(DR176+DS176)*(1+$EK$82)</f>
        <v>#REF!</v>
      </c>
      <c r="DU176" s="17" t="e">
        <f t="shared" si="250"/>
        <v>#REF!</v>
      </c>
      <c r="DV176" s="33" t="e">
        <f t="shared" ref="DV176:DV179" si="326">IF(DU176&gt;0,MIN(DU176,(DR176+DS176)*$EK$85*0.7),0)</f>
        <v>#REF!</v>
      </c>
      <c r="DW176" s="32" t="e">
        <f t="shared" si="193"/>
        <v>#REF!</v>
      </c>
      <c r="DX176" s="17" t="e">
        <f t="shared" si="251"/>
        <v>#REF!</v>
      </c>
      <c r="DY176" s="17" t="e">
        <f t="shared" si="252"/>
        <v>#REF!</v>
      </c>
      <c r="DZ176" s="17" t="e">
        <f t="shared" si="194"/>
        <v>#REF!</v>
      </c>
      <c r="EA176" s="17" t="e">
        <f t="shared" si="224"/>
        <v>#REF!</v>
      </c>
      <c r="EB176" s="15" t="e">
        <f t="shared" si="225"/>
        <v>#REF!</v>
      </c>
      <c r="EC176" s="15">
        <f>IF(DP176=0,EC175,IF(DO176&lt;=$EK$88+$C$10,ABS(DP176)+EC175,EC175))</f>
        <v>430891.77838569693</v>
      </c>
      <c r="ED176" s="15" t="e">
        <f t="shared" si="253"/>
        <v>#REF!</v>
      </c>
      <c r="EE176" s="16" t="e">
        <f t="shared" si="254"/>
        <v>#REF!</v>
      </c>
      <c r="EF176" s="15" t="e">
        <f>IF(DS176&lt;=0,0,DS176-#REF!)</f>
        <v>#REF!</v>
      </c>
      <c r="EG176" s="15" t="e">
        <f t="shared" si="255"/>
        <v>#REF!</v>
      </c>
      <c r="EH176" s="16"/>
      <c r="EI176" s="16"/>
      <c r="EJ176"/>
      <c r="EK176"/>
      <c r="EL176"/>
      <c r="EM176" s="28">
        <f t="shared" si="256"/>
        <v>2117</v>
      </c>
      <c r="EN176" s="29">
        <f>IF($C$13+$C$10&gt;=EM176,-(#REF!),IF(EM176=$C$13+$C$10+1,$FB$93,0))</f>
        <v>0</v>
      </c>
      <c r="EO176" s="30" t="e">
        <f t="shared" si="257"/>
        <v>#REF!</v>
      </c>
      <c r="EP176" s="30" t="e">
        <f t="shared" si="258"/>
        <v>#REF!</v>
      </c>
      <c r="EQ176" s="30" t="e">
        <f>#REF!-EV175</f>
        <v>#REF!</v>
      </c>
      <c r="ER176" s="25" t="e">
        <f t="shared" ref="ER176:ER180" si="327">(EP176+EQ176)*(1+$FB$82)</f>
        <v>#REF!</v>
      </c>
      <c r="ES176" s="30" t="e">
        <f t="shared" si="259"/>
        <v>#REF!</v>
      </c>
      <c r="ET176" s="26" t="e">
        <f t="shared" ref="ET176:ET180" si="328">IF(ES176&gt;0,(EP176+EQ176)*$FB$85*0.7,0)</f>
        <v>#REF!</v>
      </c>
      <c r="EU176" s="30" t="e">
        <f t="shared" si="260"/>
        <v>#REF!</v>
      </c>
      <c r="EV176" s="25" t="e">
        <f t="shared" ref="EV176:EV180" si="329">IF(EU176*$FB$84*$FB$86&lt;=$FB$87,0,EU176*$FB$84*$FB$86)</f>
        <v>#REF!</v>
      </c>
      <c r="EW176" s="31" t="e">
        <f t="shared" si="261"/>
        <v>#REF!</v>
      </c>
      <c r="EX176" s="27">
        <f>IF(EM176=0,EX175,IF(EM176&lt;=$FB$88+$C$10,ABS(EN176)+EX175,EX175))</f>
        <v>430891.77838569693</v>
      </c>
      <c r="EY176" s="15"/>
      <c r="EZ176"/>
      <c r="FA176"/>
      <c r="FB176"/>
      <c r="FJ176" s="28">
        <f t="shared" si="262"/>
        <v>2117</v>
      </c>
      <c r="FK176" s="65">
        <f>IF($C$13+$C$10&gt;=FJ176,-#REF!,IF(FJ176=$C$13+$C$10+1,$EK$93,0))</f>
        <v>0</v>
      </c>
      <c r="FL176" s="65">
        <f t="shared" si="263"/>
        <v>74118.803999999975</v>
      </c>
      <c r="FM176" s="65">
        <f t="shared" si="264"/>
        <v>6726578.0305742733</v>
      </c>
      <c r="FN176" s="65">
        <f>IF(FY175&gt;=$GF$97,0,#REF!+FW175)</f>
        <v>0</v>
      </c>
      <c r="FO176" s="65">
        <f t="shared" ref="FO176:FO179" si="330">(FM176+FN176)*(1+$GF$82)</f>
        <v>7197438.492714473</v>
      </c>
      <c r="FP176" s="65">
        <f t="shared" si="265"/>
        <v>470860.46214019973</v>
      </c>
      <c r="FQ176" s="59">
        <f t="shared" ref="FQ176:FQ179" si="331">IF(FP176&gt;0,MIN(FP176,(FM176+FN176)*$GF$85*0.7),0)</f>
        <v>3296.0232349813941</v>
      </c>
      <c r="FR176" s="60">
        <f t="shared" si="201"/>
        <v>143948.76985428945</v>
      </c>
      <c r="FS176" s="65">
        <f t="shared" si="266"/>
        <v>0</v>
      </c>
      <c r="FT176" s="65">
        <f t="shared" si="267"/>
        <v>0</v>
      </c>
      <c r="FU176" s="65">
        <f t="shared" si="202"/>
        <v>0</v>
      </c>
      <c r="FV176" s="65">
        <f t="shared" si="228"/>
        <v>26365.277884348186</v>
      </c>
      <c r="FW176" s="61">
        <f t="shared" si="229"/>
        <v>117583.49196994127</v>
      </c>
      <c r="FX176" s="61">
        <f>IF(AND(FJ176&lt;=$GF$88+$C$10,FV175&lt;=0,FN176&gt;0),(FJ176-$C$10+1)*#REF!+$GF$80,FX175)</f>
        <v>73074.599999999977</v>
      </c>
      <c r="FY176" s="62">
        <f t="shared" si="230"/>
        <v>124.79792621473484</v>
      </c>
      <c r="FZ176" s="63">
        <f t="shared" si="268"/>
        <v>7197438.492714473</v>
      </c>
      <c r="GA176" s="64">
        <f t="shared" si="269"/>
        <v>137277.10266478109</v>
      </c>
      <c r="GB176" s="64">
        <f t="shared" si="270"/>
        <v>2929272.169726117</v>
      </c>
      <c r="GC176" s="66">
        <f>IF(FN176&lt;=0,0,FN176-#REF!)</f>
        <v>0</v>
      </c>
      <c r="GD176" s="64">
        <f t="shared" si="271"/>
        <v>1580.6039999999994</v>
      </c>
      <c r="GE176"/>
      <c r="GF176"/>
      <c r="GI176" s="28">
        <f t="shared" si="272"/>
        <v>2117</v>
      </c>
      <c r="GJ176" s="9">
        <f>IF($GX$88+$C$10&gt;=GI176,-#REF!,IF(GI176=$GX$88+$C$10+1,$FB$93,0))</f>
        <v>0</v>
      </c>
      <c r="GK176" s="5" t="e">
        <f t="shared" si="273"/>
        <v>#REF!</v>
      </c>
      <c r="GL176" s="5" t="e">
        <f t="shared" si="274"/>
        <v>#REF!</v>
      </c>
      <c r="GM176" s="35" t="e">
        <f>IF(FX175=$GF$94,#REF!-GR175+FW175,0)</f>
        <v>#REF!</v>
      </c>
      <c r="GN176" s="4" t="e">
        <f t="shared" ref="GN176:GN179" si="332">(GL176+GM176)*(1+$GX$82)</f>
        <v>#REF!</v>
      </c>
      <c r="GO176" s="5" t="e">
        <f t="shared" si="275"/>
        <v>#REF!</v>
      </c>
      <c r="GP176" s="5" t="e">
        <f t="shared" ref="GP176:GP179" si="333">IF(GO176&gt;0,(GL176+GM176)*$GX$85*0.7,0)</f>
        <v>#REF!</v>
      </c>
      <c r="GQ176" s="5" t="e">
        <f t="shared" si="276"/>
        <v>#REF!</v>
      </c>
      <c r="GR176" s="4" t="e">
        <f t="shared" ref="GR176:GR179" si="334">IF($DG$62&lt;&gt;0,GQ176*$GX$86*$GX$84,IF(GQ176*$GX$86*$GX$84&lt;=$GX$87,0,GQ176*$GX$86*$GX$84))</f>
        <v>#REF!</v>
      </c>
      <c r="GS176" s="7" t="e">
        <f t="shared" si="277"/>
        <v>#REF!</v>
      </c>
      <c r="GT176" s="107" t="e">
        <f>IF($DG$62=0,EX176,IF(GI176-$C$10+1&lt;=$GF$98,0,#REF!-FX176))</f>
        <v>#REF!</v>
      </c>
      <c r="GU176"/>
      <c r="GV176"/>
      <c r="GW176"/>
      <c r="GX176"/>
    </row>
    <row r="177" spans="2:206" ht="16.149999999999999" thickBot="1" x14ac:dyDescent="0.55000000000000004">
      <c r="B177" s="333"/>
      <c r="C177" s="75"/>
      <c r="D177" s="75"/>
      <c r="F177" s="75"/>
      <c r="G177" s="75"/>
      <c r="H177" s="75"/>
      <c r="I177" s="75"/>
      <c r="J177" s="75"/>
      <c r="K177" s="75"/>
      <c r="L177" s="75"/>
      <c r="M177" s="75"/>
      <c r="O177" s="75"/>
      <c r="P177" s="75"/>
      <c r="Q177" s="75"/>
      <c r="R177" s="75"/>
      <c r="S177" s="290"/>
      <c r="T177" s="291"/>
      <c r="U177" s="291"/>
      <c r="V177" s="292"/>
      <c r="W177" s="292"/>
      <c r="AB177" s="117">
        <f t="shared" si="207"/>
        <v>125</v>
      </c>
      <c r="AC177" s="117">
        <f t="shared" si="208"/>
        <v>2118</v>
      </c>
      <c r="AD177" s="299">
        <f>IF($C$20="NEIN",$C$21,IF($C$22="JA",'HISTORISCHE RENDITEN'!E101,'HISTORISCHE RENDITEN'!D101))</f>
        <v>0.15590000000000001</v>
      </c>
      <c r="AE177" s="129">
        <f t="shared" si="278"/>
        <v>125</v>
      </c>
      <c r="AF177" s="120">
        <f t="shared" si="280"/>
        <v>2118</v>
      </c>
      <c r="AG177" s="122">
        <f t="shared" si="281"/>
        <v>0</v>
      </c>
      <c r="AH177" s="124">
        <f t="shared" si="282"/>
        <v>430891.77838569693</v>
      </c>
      <c r="AI177" s="296">
        <f t="shared" si="283"/>
        <v>-9798366.0015499331</v>
      </c>
      <c r="AJ177" s="123">
        <f t="shared" si="233"/>
        <v>0</v>
      </c>
      <c r="AK177" s="124">
        <f t="shared" si="284"/>
        <v>-11325931.261191567</v>
      </c>
      <c r="AL177" s="122">
        <f t="shared" si="285"/>
        <v>-1527565.2596416343</v>
      </c>
      <c r="AM177" s="122" t="b">
        <f>IF($C$25="Ausschütter",0,IF(AL177&gt;=0,(AI177+AJ177)*$C$48*0.7))</f>
        <v>0</v>
      </c>
      <c r="AN177" s="122">
        <f t="shared" si="323"/>
        <v>0</v>
      </c>
      <c r="AO177" s="122">
        <f t="shared" si="212"/>
        <v>0</v>
      </c>
      <c r="AP177" s="122">
        <f t="shared" si="286"/>
        <v>10612.868178772049</v>
      </c>
      <c r="AQ177" s="122">
        <f>IF($C$25="AUSSCHÜTTER",0,IF(AO177*$C$46*$C$49&lt;=$C$47,0,AO177*$C$46*$C$49))</f>
        <v>0</v>
      </c>
      <c r="AR177" s="122">
        <f>IF(AO176*$C$49&gt;$C$47,(AN177)*$C$49*$C$46,IF((AO176+AN177)*$C$49&gt;$C$47,((AO176+AN177)*$C$49-$C$47)*$C$46,0))</f>
        <v>0</v>
      </c>
      <c r="AS177" s="122">
        <f t="shared" si="287"/>
        <v>0</v>
      </c>
      <c r="AT177" s="122">
        <f t="shared" si="288"/>
        <v>430891.77838569693</v>
      </c>
      <c r="AU177" s="122">
        <f t="shared" si="289"/>
        <v>0</v>
      </c>
      <c r="AV177" s="122">
        <f t="shared" si="290"/>
        <v>-11325931.261191567</v>
      </c>
      <c r="AW177" s="122">
        <f t="shared" ref="AW177:AW199" si="335">IF(OR($C$25="THESAURIERER",$C$27="NEIN"),0,IF(AS176&lt;=0,0,AS176))</f>
        <v>0</v>
      </c>
      <c r="AX177" s="130">
        <f t="shared" ref="AX177:AX199" si="336">IF($C$25="THESAURIERER",0,AW177+AX176)</f>
        <v>0</v>
      </c>
      <c r="AY177" s="82">
        <f>IF(AF177&lt;$C$11,$C$15*(1+$C$19)^(AF177-$C$10),0)</f>
        <v>0</v>
      </c>
      <c r="AZ177" s="82">
        <f>$C$14*(1+$C$37)^(AF177-$C$10)</f>
        <v>197463.78079864732</v>
      </c>
      <c r="BA177" s="165">
        <f>IF(AF177&lt;$C$11,0,MAX($C$38*AI177,AZ177))</f>
        <v>197463.78079864732</v>
      </c>
      <c r="BB177" s="82">
        <f>IF(AF177&lt;$C$11,0,MAX($C$38*AI177,AZ177))</f>
        <v>197463.78079864732</v>
      </c>
      <c r="BC177" s="136">
        <f>IF($C$39="JA",CT177,DG177)</f>
        <v>52081.072185643228</v>
      </c>
      <c r="BD177" s="82">
        <f t="shared" si="324"/>
        <v>0</v>
      </c>
      <c r="BE177" s="82">
        <f>IF(AF177&lt;($C$8+$C$30),0,$C$29*12*(1-$C$31))</f>
        <v>0</v>
      </c>
      <c r="BF177" s="82">
        <f>IF(AF177&lt;($C$8+$C$34),0,$C$33*12*(1-$C$35))</f>
        <v>0</v>
      </c>
      <c r="BG177" s="82">
        <f>IF(AF177&lt;$C$11,0,IF(AI177&lt;0,$C$42*(1+$C$44)^(AF177-$C$10),IF(((AL177+BE177+BF177)*$C$41)&lt;$C$42*(1+$C$44)^(AF177-$C$10),$C$42*(1+$C$44)^(AF177-$C$10),IF(((AL177+BE177+BF177)*$C$41)&lt;$C$43*(1+$C$44)^(AF177-$C$10),(AL177+BE177+BF177)*$C$41,IF(((AL177+BE177+BF177+BB177)*$C$41)&lt;$C$43*(1+$C$44)^(AF177-$C$10),((AL177+BE177+BF177+BB177)*$C$41),$C$43*(1+$C$44)^(AF177-$C$10))))))</f>
        <v>10172.257372024533</v>
      </c>
      <c r="BH177" s="82">
        <f t="shared" si="238"/>
        <v>259717.1103563151</v>
      </c>
      <c r="BI177" s="242">
        <f t="shared" si="291"/>
        <v>-11325931.261191567</v>
      </c>
      <c r="BJ177" s="217">
        <f t="shared" si="292"/>
        <v>-11585648.371547883</v>
      </c>
      <c r="BK177" s="118"/>
      <c r="BL177" s="219">
        <f t="shared" si="293"/>
        <v>81</v>
      </c>
      <c r="BM177" s="220">
        <f t="shared" si="294"/>
        <v>98</v>
      </c>
      <c r="BN177" s="220">
        <f t="shared" si="295"/>
        <v>0</v>
      </c>
      <c r="BO177" s="221">
        <f t="shared" si="296"/>
        <v>0</v>
      </c>
      <c r="BP177" s="221">
        <f t="shared" si="297"/>
        <v>0</v>
      </c>
      <c r="BQ177" s="222">
        <f t="shared" si="298"/>
        <v>0</v>
      </c>
      <c r="BR177" s="223">
        <f>IF(BM177&lt;$C$11-$C$10+1,0,IF(BL177&lt;=$C$13,VLOOKUP(BL177,$BN$80:$BQ$156,2,FALSE)-BS177,0))</f>
        <v>0</v>
      </c>
      <c r="BS177" s="223">
        <f>IF(BM177&lt;$C$11-$C$10+1,0,IF(BL177&lt;=$C$13,VLOOKUP(BL177,$BN$80:$BQ$156,3,FALSE),0))</f>
        <v>0</v>
      </c>
      <c r="BT177" s="222">
        <f>IF(BM177&lt;$C$11-$C$10+1,0,IF(BL177&lt;=$C$13,VLOOKUP(BL177,$BN$80:$BQ$156,4,FALSE),0))</f>
        <v>0</v>
      </c>
      <c r="BU177" s="223">
        <f t="shared" si="299"/>
        <v>0</v>
      </c>
      <c r="BV177" s="223">
        <f t="shared" si="300"/>
        <v>0</v>
      </c>
      <c r="BW177" s="223">
        <f t="shared" si="301"/>
        <v>0</v>
      </c>
      <c r="BX177" s="223">
        <f>IF(AND(BS177&lt;=0,BN177=0),MIN((MAX($BZ$80:$BZ$156)-SUM($BX$80:BX176)),CA177),IF(BS177&lt;CA177,BS177,CA177))</f>
        <v>0</v>
      </c>
      <c r="BY177" s="222">
        <f>IF(BN177&gt;0,0,IF(AND(BN177=0,BT177&lt;=0),100%,((BW176*(AVERAGE($BT$80:BT176))+(BR177*BT177))/(BR177+BW176+BS177+BV176))))</f>
        <v>1</v>
      </c>
      <c r="BZ177" s="139">
        <f t="shared" si="302"/>
        <v>430891.77838569693</v>
      </c>
      <c r="CA177" s="122">
        <f t="shared" si="303"/>
        <v>197463.78079864732</v>
      </c>
      <c r="CB177" s="181">
        <f t="shared" si="304"/>
        <v>1</v>
      </c>
      <c r="CC177" s="122">
        <f t="shared" si="305"/>
        <v>7188257.5621671835</v>
      </c>
      <c r="CD177" s="182">
        <f t="shared" si="306"/>
        <v>0</v>
      </c>
      <c r="CE177" s="122">
        <f t="shared" si="307"/>
        <v>430891.77838569693</v>
      </c>
      <c r="CF177" s="122">
        <f t="shared" si="308"/>
        <v>0</v>
      </c>
      <c r="CG177" s="122" t="str">
        <f t="shared" si="309"/>
        <v/>
      </c>
      <c r="CH177" s="140">
        <f t="shared" si="310"/>
        <v>1</v>
      </c>
      <c r="CI177" s="142">
        <f t="shared" si="311"/>
        <v>9984</v>
      </c>
      <c r="CJ177" s="134">
        <f>CI177*$C$57</f>
        <v>0</v>
      </c>
      <c r="CK177" s="142">
        <f t="shared" si="312"/>
        <v>14926</v>
      </c>
      <c r="CL177" s="134">
        <f>CK177*$C$57</f>
        <v>0</v>
      </c>
      <c r="CM177" s="142">
        <f t="shared" si="313"/>
        <v>58596</v>
      </c>
      <c r="CN177" s="134">
        <f>CM177*$C$57</f>
        <v>0</v>
      </c>
      <c r="CO177" s="132">
        <f t="shared" si="314"/>
        <v>197463.78079864732</v>
      </c>
      <c r="CP177" s="140">
        <f t="shared" si="315"/>
        <v>0.42</v>
      </c>
      <c r="CQ177" s="121" t="str">
        <f>IF($C$50="NEIN","NEIN",IF(CS177&lt;CR177,"JA","NEIN"))</f>
        <v>NEIN</v>
      </c>
      <c r="CR177" s="121">
        <f>CO177*$C$46</f>
        <v>52081.072185643228</v>
      </c>
      <c r="CS177" s="121">
        <f t="shared" si="316"/>
        <v>73667.257935431873</v>
      </c>
      <c r="CT177" s="201">
        <f>IF($C$50="NEIN",CR177,IF(CQ177="NEIN",CR177,CS177))</f>
        <v>52081.072185643228</v>
      </c>
      <c r="CU177" s="149"/>
      <c r="CV177" s="202">
        <f t="shared" si="317"/>
        <v>9984</v>
      </c>
      <c r="CW177" s="134">
        <f>CV177*$C$57</f>
        <v>0</v>
      </c>
      <c r="CX177" s="142">
        <f t="shared" si="318"/>
        <v>14926</v>
      </c>
      <c r="CY177" s="134">
        <f>CX177*$C$57</f>
        <v>0</v>
      </c>
      <c r="CZ177" s="142">
        <f t="shared" si="319"/>
        <v>58596</v>
      </c>
      <c r="DA177" s="143">
        <f>CZ177*$C$57</f>
        <v>0</v>
      </c>
      <c r="DB177" s="165">
        <f t="shared" si="320"/>
        <v>197463.78079864732</v>
      </c>
      <c r="DC177" s="140">
        <f t="shared" si="321"/>
        <v>0.42</v>
      </c>
      <c r="DD177" s="121" t="str">
        <f>IF($C$50="NEIN","NEIN",IF(DF177&lt;DE177,"JA","NEIN"))</f>
        <v>NEIN</v>
      </c>
      <c r="DE177" s="121">
        <f>DB177*$C$46</f>
        <v>52081.072185643228</v>
      </c>
      <c r="DF177" s="121">
        <f t="shared" si="322"/>
        <v>73667.257935431873</v>
      </c>
      <c r="DG177" s="201">
        <f>IF($C$50="NEIN",DE177,IF(DD177="NEIN",DE177,DF177))</f>
        <v>52081.072185643228</v>
      </c>
      <c r="DH177" s="97"/>
      <c r="DI177" s="125"/>
      <c r="DN177" s="75"/>
      <c r="DO177" s="28">
        <f t="shared" si="247"/>
        <v>2118</v>
      </c>
      <c r="DP177" s="17">
        <f>IF($C$13+$C$10&gt;=DO177,-#REF!,IF(DO177=$C$13+$C$10+1,$EK$93,0))</f>
        <v>0</v>
      </c>
      <c r="DQ177" s="17" t="e">
        <f t="shared" si="248"/>
        <v>#REF!</v>
      </c>
      <c r="DR177" s="17" t="e">
        <f t="shared" si="249"/>
        <v>#REF!</v>
      </c>
      <c r="DS177" s="17" t="e">
        <f>#REF!+EB176</f>
        <v>#REF!</v>
      </c>
      <c r="DT177" s="17" t="e">
        <f t="shared" si="325"/>
        <v>#REF!</v>
      </c>
      <c r="DU177" s="17" t="e">
        <f t="shared" si="250"/>
        <v>#REF!</v>
      </c>
      <c r="DV177" s="33" t="e">
        <f t="shared" si="326"/>
        <v>#REF!</v>
      </c>
      <c r="DW177" s="32" t="e">
        <f t="shared" si="193"/>
        <v>#REF!</v>
      </c>
      <c r="DX177" s="17" t="e">
        <f t="shared" si="251"/>
        <v>#REF!</v>
      </c>
      <c r="DY177" s="17" t="e">
        <f t="shared" si="252"/>
        <v>#REF!</v>
      </c>
      <c r="DZ177" s="17" t="e">
        <f t="shared" si="194"/>
        <v>#REF!</v>
      </c>
      <c r="EA177" s="17" t="e">
        <f t="shared" si="224"/>
        <v>#REF!</v>
      </c>
      <c r="EB177" s="15" t="e">
        <f t="shared" ref="EB177:EB179" si="337">IF($C$27="JA",DW177-EA177-DZ177,0)</f>
        <v>#REF!</v>
      </c>
      <c r="EC177" s="15">
        <f>IF(DP177=0,EC176,IF(DO177&lt;=$EK$88+$C$10,ABS(DP177)+EC176,EC176))</f>
        <v>430891.77838569693</v>
      </c>
      <c r="ED177" s="15" t="e">
        <f t="shared" si="253"/>
        <v>#REF!</v>
      </c>
      <c r="EE177" s="16" t="e">
        <f t="shared" si="254"/>
        <v>#REF!</v>
      </c>
      <c r="EF177" s="15" t="e">
        <f>IF(DS177&lt;=0,0,DS177-#REF!)</f>
        <v>#REF!</v>
      </c>
      <c r="EG177" s="15" t="e">
        <f t="shared" si="255"/>
        <v>#REF!</v>
      </c>
      <c r="EH177" s="16"/>
      <c r="EI177" s="16"/>
      <c r="EJ177"/>
      <c r="EK177"/>
      <c r="EL177"/>
      <c r="EM177" s="28">
        <f t="shared" si="256"/>
        <v>2118</v>
      </c>
      <c r="EN177" s="29">
        <f>IF($C$13+$C$10&gt;=EM177,-(#REF!),IF(EM177=$C$13+$C$10+1,$FB$93,0))</f>
        <v>0</v>
      </c>
      <c r="EO177" s="30" t="e">
        <f t="shared" si="257"/>
        <v>#REF!</v>
      </c>
      <c r="EP177" s="30" t="e">
        <f t="shared" si="258"/>
        <v>#REF!</v>
      </c>
      <c r="EQ177" s="30" t="e">
        <f>#REF!-EV176</f>
        <v>#REF!</v>
      </c>
      <c r="ER177" s="25" t="e">
        <f t="shared" si="327"/>
        <v>#REF!</v>
      </c>
      <c r="ES177" s="30" t="e">
        <f t="shared" si="259"/>
        <v>#REF!</v>
      </c>
      <c r="ET177" s="26" t="e">
        <f t="shared" si="328"/>
        <v>#REF!</v>
      </c>
      <c r="EU177" s="30" t="e">
        <f t="shared" si="260"/>
        <v>#REF!</v>
      </c>
      <c r="EV177" s="25" t="e">
        <f t="shared" si="329"/>
        <v>#REF!</v>
      </c>
      <c r="EW177" s="31" t="e">
        <f t="shared" si="261"/>
        <v>#REF!</v>
      </c>
      <c r="EX177" s="27">
        <f>IF(EM177=0,EX176,IF(EM177&lt;=$FB$88+$C$10,ABS(EN177)+EX176,EX176))</f>
        <v>430891.77838569693</v>
      </c>
      <c r="EY177" s="15"/>
      <c r="EZ177"/>
      <c r="FA177"/>
      <c r="FB177"/>
      <c r="FJ177" s="28">
        <f t="shared" si="262"/>
        <v>2118</v>
      </c>
      <c r="FK177" s="65">
        <f>IF($C$13+$C$10&gt;=FJ177,-#REF!,IF(FJ177=$C$13+$C$10+1,$EK$93,0))</f>
        <v>0</v>
      </c>
      <c r="FL177" s="65">
        <f t="shared" si="263"/>
        <v>74118.803999999975</v>
      </c>
      <c r="FM177" s="65">
        <f t="shared" si="264"/>
        <v>7053489.7228601836</v>
      </c>
      <c r="FN177" s="65">
        <f>IF(FY176&gt;=$GF$97,0,#REF!+FW176)</f>
        <v>0</v>
      </c>
      <c r="FO177" s="65">
        <f t="shared" si="330"/>
        <v>7547234.003460397</v>
      </c>
      <c r="FP177" s="65">
        <f t="shared" si="265"/>
        <v>493744.28060021345</v>
      </c>
      <c r="FQ177" s="59">
        <f t="shared" si="331"/>
        <v>3456.2099642014896</v>
      </c>
      <c r="FR177" s="60">
        <f t="shared" si="201"/>
        <v>150944.68006920794</v>
      </c>
      <c r="FS177" s="65">
        <f t="shared" si="266"/>
        <v>0</v>
      </c>
      <c r="FT177" s="65">
        <f t="shared" si="267"/>
        <v>0</v>
      </c>
      <c r="FU177" s="65">
        <f t="shared" si="202"/>
        <v>0</v>
      </c>
      <c r="FV177" s="65">
        <f t="shared" si="228"/>
        <v>27656.897807777514</v>
      </c>
      <c r="FW177" s="61">
        <f t="shared" ref="FW177:FW179" si="338">IF($C$27="JA",FR177-FV177-FU177,0)</f>
        <v>123287.78226143043</v>
      </c>
      <c r="FX177" s="61">
        <f>IF(AND(FJ177&lt;=$GF$88+$C$10,FV176&lt;=0,FN177&gt;0),(FJ177-$C$10+1)*#REF!+$GF$80,FX176)</f>
        <v>73074.599999999977</v>
      </c>
      <c r="FY177" s="62">
        <f t="shared" si="230"/>
        <v>130.91170542877097</v>
      </c>
      <c r="FZ177" s="63">
        <f t="shared" si="268"/>
        <v>7547234.003460397</v>
      </c>
      <c r="GA177" s="64">
        <f t="shared" si="269"/>
        <v>143948.76985428945</v>
      </c>
      <c r="GB177" s="64">
        <f t="shared" si="270"/>
        <v>3073220.9395804065</v>
      </c>
      <c r="GC177" s="66">
        <f>IF(FN177&lt;=0,0,FN177-#REF!)</f>
        <v>0</v>
      </c>
      <c r="GD177" s="64">
        <f t="shared" si="271"/>
        <v>1580.6039999999994</v>
      </c>
      <c r="GE177"/>
      <c r="GF177"/>
      <c r="GI177" s="28">
        <f t="shared" si="272"/>
        <v>2118</v>
      </c>
      <c r="GJ177" s="9">
        <f>IF($GX$88+$C$10&gt;=GI177,-#REF!,IF(GI177=$GX$88+$C$10+1,$FB$93,0))</f>
        <v>0</v>
      </c>
      <c r="GK177" s="5" t="e">
        <f t="shared" si="273"/>
        <v>#REF!</v>
      </c>
      <c r="GL177" s="5" t="e">
        <f t="shared" si="274"/>
        <v>#REF!</v>
      </c>
      <c r="GM177" s="35" t="e">
        <f>IF(FX176=$GF$94,#REF!-GR176+FW176,0)</f>
        <v>#REF!</v>
      </c>
      <c r="GN177" s="4" t="e">
        <f t="shared" si="332"/>
        <v>#REF!</v>
      </c>
      <c r="GO177" s="5" t="e">
        <f t="shared" si="275"/>
        <v>#REF!</v>
      </c>
      <c r="GP177" s="5" t="e">
        <f t="shared" si="333"/>
        <v>#REF!</v>
      </c>
      <c r="GQ177" s="5" t="e">
        <f t="shared" si="276"/>
        <v>#REF!</v>
      </c>
      <c r="GR177" s="4" t="e">
        <f t="shared" si="334"/>
        <v>#REF!</v>
      </c>
      <c r="GS177" s="7" t="e">
        <f t="shared" si="277"/>
        <v>#REF!</v>
      </c>
      <c r="GT177" s="107" t="e">
        <f>IF($DG$62=0,EX177,IF(GI177-$C$10+1&lt;=$GF$98,0,#REF!-FX177))</f>
        <v>#REF!</v>
      </c>
      <c r="GU177"/>
      <c r="GV177"/>
      <c r="GW177"/>
      <c r="GX177"/>
    </row>
    <row r="178" spans="2:206" ht="16.149999999999999" thickBot="1" x14ac:dyDescent="0.55000000000000004">
      <c r="B178" s="333"/>
      <c r="C178" s="75"/>
      <c r="D178" s="75"/>
      <c r="F178" s="75"/>
      <c r="G178" s="75"/>
      <c r="H178" s="75"/>
      <c r="I178" s="75"/>
      <c r="J178" s="75"/>
      <c r="K178" s="75"/>
      <c r="L178" s="75"/>
      <c r="M178" s="75"/>
      <c r="O178" s="75"/>
      <c r="P178" s="75"/>
      <c r="Q178" s="75"/>
      <c r="R178" s="75"/>
      <c r="S178" s="290"/>
      <c r="T178" s="291"/>
      <c r="U178" s="291"/>
      <c r="V178" s="292"/>
      <c r="W178" s="292"/>
      <c r="AB178" s="117">
        <f t="shared" si="207"/>
        <v>126</v>
      </c>
      <c r="AC178" s="117">
        <f t="shared" si="208"/>
        <v>2119</v>
      </c>
      <c r="AD178" s="299">
        <f>IF($C$20="NEIN",$C$21,IF($C$22="JA",'HISTORISCHE RENDITEN'!E102,'HISTORISCHE RENDITEN'!D102))</f>
        <v>0.1996</v>
      </c>
      <c r="AE178" s="129">
        <f t="shared" si="278"/>
        <v>126</v>
      </c>
      <c r="AF178" s="120">
        <f t="shared" si="280"/>
        <v>2119</v>
      </c>
      <c r="AG178" s="122">
        <f t="shared" si="281"/>
        <v>0</v>
      </c>
      <c r="AH178" s="124">
        <f t="shared" si="282"/>
        <v>430891.77838569693</v>
      </c>
      <c r="AI178" s="296">
        <f t="shared" si="283"/>
        <v>-11585648.371547883</v>
      </c>
      <c r="AJ178" s="123">
        <f t="shared" si="233"/>
        <v>0</v>
      </c>
      <c r="AK178" s="124">
        <f t="shared" si="284"/>
        <v>-13898143.786508841</v>
      </c>
      <c r="AL178" s="122">
        <f t="shared" si="285"/>
        <v>-2312495.4149609581</v>
      </c>
      <c r="AM178" s="122" t="b">
        <f>IF($C$25="Ausschütter",0,IF(AL178&gt;=0,(AI178+AJ178)*$C$48*0.7))</f>
        <v>0</v>
      </c>
      <c r="AN178" s="122">
        <f t="shared" si="323"/>
        <v>0</v>
      </c>
      <c r="AO178" s="122">
        <f t="shared" si="212"/>
        <v>0</v>
      </c>
      <c r="AP178" s="122">
        <f t="shared" si="286"/>
        <v>10612.868178772049</v>
      </c>
      <c r="AQ178" s="122">
        <f>IF($C$25="AUSSCHÜTTER",0,IF(AO178*$C$46*$C$49&lt;=$C$47,0,AO178*$C$46*$C$49))</f>
        <v>0</v>
      </c>
      <c r="AR178" s="122">
        <f>IF(AO177*$C$49&gt;$C$47,(AN178)*$C$49*$C$46,IF((AO177+AN178)*$C$49&gt;$C$47,((AO177+AN178)*$C$49-$C$47)*$C$46,0))</f>
        <v>0</v>
      </c>
      <c r="AS178" s="122">
        <f t="shared" si="287"/>
        <v>0</v>
      </c>
      <c r="AT178" s="122">
        <f t="shared" si="288"/>
        <v>430891.77838569693</v>
      </c>
      <c r="AU178" s="122">
        <f t="shared" si="289"/>
        <v>0</v>
      </c>
      <c r="AV178" s="122">
        <f t="shared" si="290"/>
        <v>-13898143.786508841</v>
      </c>
      <c r="AW178" s="122">
        <f t="shared" si="335"/>
        <v>0</v>
      </c>
      <c r="AX178" s="130">
        <f t="shared" si="336"/>
        <v>0</v>
      </c>
      <c r="AY178" s="82">
        <f>IF(AF178&lt;$C$11,$C$15*(1+$C$19)^(AF178-$C$10),0)</f>
        <v>0</v>
      </c>
      <c r="AZ178" s="82">
        <f>$C$14*(1+$C$37)^(AF178-$C$10)</f>
        <v>202400.37531861351</v>
      </c>
      <c r="BA178" s="165">
        <f>IF(AF178&lt;$C$11,0,MAX($C$38*AI178,AZ178))</f>
        <v>202400.37531861351</v>
      </c>
      <c r="BB178" s="82">
        <f>IF(AF178&lt;$C$11,0,MAX($C$38*AI178,AZ178))</f>
        <v>202400.37531861351</v>
      </c>
      <c r="BC178" s="136">
        <f>IF($C$39="JA",CT178,DG178)</f>
        <v>53383.098990284314</v>
      </c>
      <c r="BD178" s="82">
        <f t="shared" si="324"/>
        <v>0</v>
      </c>
      <c r="BE178" s="82">
        <f>IF(AF178&lt;($C$8+$C$30),0,$C$29*12*(1-$C$31))</f>
        <v>0</v>
      </c>
      <c r="BF178" s="82">
        <f>IF(AF178&lt;($C$8+$C$34),0,$C$33*12*(1-$C$35))</f>
        <v>0</v>
      </c>
      <c r="BG178" s="82">
        <f>IF(AF178&lt;$C$11,0,IF(AI178&lt;0,$C$42*(1+$C$44)^(AF178-$C$10),IF(((AL178+BE178+BF178)*$C$41)&lt;$C$42*(1+$C$44)^(AF178-$C$10),$C$42*(1+$C$44)^(AF178-$C$10),IF(((AL178+BE178+BF178)*$C$41)&lt;$C$43*(1+$C$44)^(AF178-$C$10),(AL178+BE178+BF178)*$C$41,IF(((AL178+BE178+BF178+BB178)*$C$41)&lt;$C$43*(1+$C$44)^(AF178-$C$10),((AL178+BE178+BF178+BB178)*$C$41),$C$43*(1+$C$44)^(AF178-$C$10))))))</f>
        <v>10324.8412326049</v>
      </c>
      <c r="BH178" s="82">
        <f t="shared" si="238"/>
        <v>266108.31554150273</v>
      </c>
      <c r="BI178" s="242">
        <f t="shared" si="291"/>
        <v>-13898143.786508841</v>
      </c>
      <c r="BJ178" s="217">
        <f t="shared" si="292"/>
        <v>-14164252.102050344</v>
      </c>
      <c r="BK178" s="118"/>
      <c r="BL178" s="219">
        <f t="shared" si="293"/>
        <v>82</v>
      </c>
      <c r="BM178" s="220">
        <f t="shared" si="294"/>
        <v>99</v>
      </c>
      <c r="BN178" s="220">
        <f t="shared" si="295"/>
        <v>0</v>
      </c>
      <c r="BO178" s="221">
        <f t="shared" si="296"/>
        <v>0</v>
      </c>
      <c r="BP178" s="221">
        <f t="shared" si="297"/>
        <v>0</v>
      </c>
      <c r="BQ178" s="222">
        <f t="shared" si="298"/>
        <v>0</v>
      </c>
      <c r="BR178" s="223">
        <f>IF(BM178&lt;$C$11-$C$10+1,0,IF(BL178&lt;=$C$13,VLOOKUP(BL178,$BN$80:$BQ$156,2,FALSE)-BS178,0))</f>
        <v>0</v>
      </c>
      <c r="BS178" s="223">
        <f>IF(BM178&lt;$C$11-$C$10+1,0,IF(BL178&lt;=$C$13,VLOOKUP(BL178,$BN$80:$BQ$156,3,FALSE),0))</f>
        <v>0</v>
      </c>
      <c r="BT178" s="222">
        <f>IF(BM178&lt;$C$11-$C$10+1,0,IF(BL178&lt;=$C$13,VLOOKUP(BL178,$BN$80:$BQ$156,4,FALSE),0))</f>
        <v>0</v>
      </c>
      <c r="BU178" s="223">
        <f t="shared" si="299"/>
        <v>0</v>
      </c>
      <c r="BV178" s="223">
        <f t="shared" si="300"/>
        <v>0</v>
      </c>
      <c r="BW178" s="223">
        <f t="shared" si="301"/>
        <v>0</v>
      </c>
      <c r="BX178" s="223">
        <f>IF(AND(BS178&lt;=0,BN178=0),MIN((MAX($BZ$80:$BZ$156)-SUM($BX$80:BX177)),CA178),IF(BS178&lt;CA178,BS178,CA178))</f>
        <v>0</v>
      </c>
      <c r="BY178" s="222">
        <f>IF(BN178&gt;0,0,IF(AND(BN178=0,BT178&lt;=0),100%,((BW177*(AVERAGE($BT$80:BT177))+(BR178*BT178))/(BR178+BW177+BS178+BV177))))</f>
        <v>1</v>
      </c>
      <c r="BZ178" s="139">
        <f t="shared" si="302"/>
        <v>430891.77838569693</v>
      </c>
      <c r="CA178" s="122">
        <f t="shared" si="303"/>
        <v>202400.37531861351</v>
      </c>
      <c r="CB178" s="181">
        <f t="shared" si="304"/>
        <v>1</v>
      </c>
      <c r="CC178" s="122">
        <f t="shared" si="305"/>
        <v>7390657.9374857973</v>
      </c>
      <c r="CD178" s="182">
        <f t="shared" si="306"/>
        <v>0</v>
      </c>
      <c r="CE178" s="122">
        <f t="shared" si="307"/>
        <v>430891.77838569693</v>
      </c>
      <c r="CF178" s="122">
        <f t="shared" si="308"/>
        <v>0</v>
      </c>
      <c r="CG178" s="122" t="str">
        <f t="shared" si="309"/>
        <v/>
      </c>
      <c r="CH178" s="140">
        <f t="shared" si="310"/>
        <v>1</v>
      </c>
      <c r="CI178" s="142">
        <f t="shared" si="311"/>
        <v>9984</v>
      </c>
      <c r="CJ178" s="134">
        <f>CI178*$C$57</f>
        <v>0</v>
      </c>
      <c r="CK178" s="142">
        <f t="shared" si="312"/>
        <v>14926</v>
      </c>
      <c r="CL178" s="134">
        <f>CK178*$C$57</f>
        <v>0</v>
      </c>
      <c r="CM178" s="142">
        <f t="shared" si="313"/>
        <v>58596</v>
      </c>
      <c r="CN178" s="134">
        <f>CM178*$C$57</f>
        <v>0</v>
      </c>
      <c r="CO178" s="132">
        <f t="shared" si="314"/>
        <v>202400.37531861351</v>
      </c>
      <c r="CP178" s="140">
        <f t="shared" si="315"/>
        <v>0.42</v>
      </c>
      <c r="CQ178" s="121" t="str">
        <f>IF($C$50="NEIN","NEIN",IF(CS178&lt;CR178,"JA","NEIN"))</f>
        <v>NEIN</v>
      </c>
      <c r="CR178" s="121">
        <f>CO178*$C$46</f>
        <v>53383.098990284314</v>
      </c>
      <c r="CS178" s="121">
        <f t="shared" si="316"/>
        <v>75740.627633817669</v>
      </c>
      <c r="CT178" s="201">
        <f>IF($C$50="NEIN",CR178,IF(CQ178="NEIN",CR178,CS178))</f>
        <v>53383.098990284314</v>
      </c>
      <c r="CU178" s="149"/>
      <c r="CV178" s="202">
        <f t="shared" si="317"/>
        <v>9984</v>
      </c>
      <c r="CW178" s="134">
        <f>CV178*$C$57</f>
        <v>0</v>
      </c>
      <c r="CX178" s="142">
        <f t="shared" si="318"/>
        <v>14926</v>
      </c>
      <c r="CY178" s="134">
        <f>CX178*$C$57</f>
        <v>0</v>
      </c>
      <c r="CZ178" s="142">
        <f t="shared" si="319"/>
        <v>58596</v>
      </c>
      <c r="DA178" s="143">
        <f>CZ178*$C$57</f>
        <v>0</v>
      </c>
      <c r="DB178" s="165">
        <f t="shared" si="320"/>
        <v>202400.37531861351</v>
      </c>
      <c r="DC178" s="140">
        <f t="shared" si="321"/>
        <v>0.42</v>
      </c>
      <c r="DD178" s="121" t="str">
        <f>IF($C$50="NEIN","NEIN",IF(DF178&lt;DE178,"JA","NEIN"))</f>
        <v>NEIN</v>
      </c>
      <c r="DE178" s="121">
        <f>DB178*$C$46</f>
        <v>53383.098990284314</v>
      </c>
      <c r="DF178" s="121">
        <f t="shared" si="322"/>
        <v>75740.627633817669</v>
      </c>
      <c r="DG178" s="201">
        <f>IF($C$50="NEIN",DE178,IF(DD178="NEIN",DE178,DF178))</f>
        <v>53383.098990284314</v>
      </c>
      <c r="DH178" s="97"/>
      <c r="DI178" s="125"/>
      <c r="DN178" s="75"/>
      <c r="DO178" s="28">
        <f t="shared" si="247"/>
        <v>2119</v>
      </c>
      <c r="DP178" s="17">
        <f>IF($C$13+$C$10&gt;=DO178,-#REF!,IF(DO178=$C$13+$C$10+1,$EK$93,0))</f>
        <v>0</v>
      </c>
      <c r="DQ178" s="17" t="e">
        <f t="shared" si="248"/>
        <v>#REF!</v>
      </c>
      <c r="DR178" s="17" t="e">
        <f t="shared" si="249"/>
        <v>#REF!</v>
      </c>
      <c r="DS178" s="17" t="e">
        <f>#REF!+EB177</f>
        <v>#REF!</v>
      </c>
      <c r="DT178" s="17" t="e">
        <f t="shared" si="325"/>
        <v>#REF!</v>
      </c>
      <c r="DU178" s="17" t="e">
        <f t="shared" si="250"/>
        <v>#REF!</v>
      </c>
      <c r="DV178" s="33" t="e">
        <f t="shared" si="326"/>
        <v>#REF!</v>
      </c>
      <c r="DW178" s="32" t="e">
        <f t="shared" si="193"/>
        <v>#REF!</v>
      </c>
      <c r="DX178" s="17" t="e">
        <f t="shared" si="251"/>
        <v>#REF!</v>
      </c>
      <c r="DY178" s="17" t="e">
        <f t="shared" si="252"/>
        <v>#REF!</v>
      </c>
      <c r="DZ178" s="17" t="e">
        <f t="shared" si="194"/>
        <v>#REF!</v>
      </c>
      <c r="EA178" s="17" t="e">
        <f t="shared" si="224"/>
        <v>#REF!</v>
      </c>
      <c r="EB178" s="15" t="e">
        <f t="shared" si="337"/>
        <v>#REF!</v>
      </c>
      <c r="EC178" s="15">
        <f>IF(DP178=0,EC177,IF(DO178&lt;=$EK$88+$C$10,ABS(DP178)+EC177,EC177))</f>
        <v>430891.77838569693</v>
      </c>
      <c r="ED178" s="15" t="e">
        <f t="shared" si="253"/>
        <v>#REF!</v>
      </c>
      <c r="EE178" s="16" t="e">
        <f t="shared" si="254"/>
        <v>#REF!</v>
      </c>
      <c r="EF178" s="15" t="e">
        <f>IF(DS178&lt;=0,0,DS178-#REF!)</f>
        <v>#REF!</v>
      </c>
      <c r="EG178" s="15" t="e">
        <f t="shared" si="255"/>
        <v>#REF!</v>
      </c>
      <c r="EH178" s="16"/>
      <c r="EI178" s="16"/>
      <c r="EJ178"/>
      <c r="EK178"/>
      <c r="EL178"/>
      <c r="EM178" s="28">
        <f t="shared" si="256"/>
        <v>2119</v>
      </c>
      <c r="EN178" s="29">
        <f>IF($C$13+$C$10&gt;=EM178,-(#REF!),IF(EM178=$C$13+$C$10+1,$FB$93,0))</f>
        <v>0</v>
      </c>
      <c r="EO178" s="30" t="e">
        <f t="shared" si="257"/>
        <v>#REF!</v>
      </c>
      <c r="EP178" s="30" t="e">
        <f t="shared" si="258"/>
        <v>#REF!</v>
      </c>
      <c r="EQ178" s="30" t="e">
        <f>#REF!-EV177</f>
        <v>#REF!</v>
      </c>
      <c r="ER178" s="25" t="e">
        <f t="shared" si="327"/>
        <v>#REF!</v>
      </c>
      <c r="ES178" s="30" t="e">
        <f t="shared" si="259"/>
        <v>#REF!</v>
      </c>
      <c r="ET178" s="26" t="e">
        <f t="shared" si="328"/>
        <v>#REF!</v>
      </c>
      <c r="EU178" s="30" t="e">
        <f t="shared" si="260"/>
        <v>#REF!</v>
      </c>
      <c r="EV178" s="25" t="e">
        <f t="shared" si="329"/>
        <v>#REF!</v>
      </c>
      <c r="EW178" s="31" t="e">
        <f t="shared" si="261"/>
        <v>#REF!</v>
      </c>
      <c r="EX178" s="27">
        <f>IF(EM178=0,EX177,IF(EM178&lt;=$FB$88+$C$10,ABS(EN178)+EX177,EX177))</f>
        <v>430891.77838569693</v>
      </c>
      <c r="EY178" s="15"/>
      <c r="EZ178"/>
      <c r="FA178"/>
      <c r="FB178"/>
      <c r="FJ178" s="28">
        <f t="shared" si="262"/>
        <v>2119</v>
      </c>
      <c r="FK178" s="65">
        <f>IF($C$13+$C$10&gt;=FJ178,-#REF!,IF(FJ178=$C$13+$C$10+1,$EK$93,0))</f>
        <v>0</v>
      </c>
      <c r="FL178" s="65">
        <f t="shared" si="263"/>
        <v>74118.803999999975</v>
      </c>
      <c r="FM178" s="65">
        <f t="shared" si="264"/>
        <v>7396289.3233911889</v>
      </c>
      <c r="FN178" s="65">
        <f>IF(FY177&gt;=$GF$97,0,#REF!+FW177)</f>
        <v>0</v>
      </c>
      <c r="FO178" s="65">
        <f t="shared" si="330"/>
        <v>7914029.5760285724</v>
      </c>
      <c r="FP178" s="65">
        <f t="shared" si="265"/>
        <v>517740.25263738353</v>
      </c>
      <c r="FQ178" s="59">
        <f t="shared" si="331"/>
        <v>3624.1817684616822</v>
      </c>
      <c r="FR178" s="60">
        <f t="shared" si="201"/>
        <v>158280.59152057144</v>
      </c>
      <c r="FS178" s="65">
        <f t="shared" si="266"/>
        <v>0</v>
      </c>
      <c r="FT178" s="65">
        <f t="shared" si="267"/>
        <v>0</v>
      </c>
      <c r="FU178" s="65">
        <f t="shared" si="202"/>
        <v>0</v>
      </c>
      <c r="FV178" s="65">
        <f t="shared" si="228"/>
        <v>29011.290459485499</v>
      </c>
      <c r="FW178" s="61">
        <f t="shared" si="338"/>
        <v>129269.30106108595</v>
      </c>
      <c r="FX178" s="61">
        <f>IF(AND(FJ178&lt;=$GF$88+$C$10,FV177&lt;=0,FN178&gt;0),(FJ178-$C$10+1)*#REF!+$GF$80,FX177)</f>
        <v>73074.599999999977</v>
      </c>
      <c r="FY178" s="62">
        <f t="shared" si="230"/>
        <v>137.32261431260923</v>
      </c>
      <c r="FZ178" s="63">
        <f t="shared" si="268"/>
        <v>7914029.5760285724</v>
      </c>
      <c r="GA178" s="64">
        <f t="shared" si="269"/>
        <v>150944.68006920794</v>
      </c>
      <c r="GB178" s="64">
        <f t="shared" si="270"/>
        <v>3224165.6196496147</v>
      </c>
      <c r="GC178" s="66">
        <f>IF(FN178&lt;=0,0,FN178-#REF!)</f>
        <v>0</v>
      </c>
      <c r="GD178" s="64">
        <f t="shared" si="271"/>
        <v>1580.6039999999994</v>
      </c>
      <c r="GE178"/>
      <c r="GF178"/>
      <c r="GI178" s="28">
        <f t="shared" si="272"/>
        <v>2119</v>
      </c>
      <c r="GJ178" s="9">
        <f>IF($GX$88+$C$10&gt;=GI178,-#REF!,IF(GI178=$GX$88+$C$10+1,$FB$93,0))</f>
        <v>0</v>
      </c>
      <c r="GK178" s="5" t="e">
        <f t="shared" si="273"/>
        <v>#REF!</v>
      </c>
      <c r="GL178" s="5" t="e">
        <f t="shared" si="274"/>
        <v>#REF!</v>
      </c>
      <c r="GM178" s="35" t="e">
        <f>IF(FX177=$GF$94,#REF!-GR177+FW177,0)</f>
        <v>#REF!</v>
      </c>
      <c r="GN178" s="4" t="e">
        <f t="shared" si="332"/>
        <v>#REF!</v>
      </c>
      <c r="GO178" s="5" t="e">
        <f t="shared" si="275"/>
        <v>#REF!</v>
      </c>
      <c r="GP178" s="5" t="e">
        <f t="shared" si="333"/>
        <v>#REF!</v>
      </c>
      <c r="GQ178" s="5" t="e">
        <f t="shared" si="276"/>
        <v>#REF!</v>
      </c>
      <c r="GR178" s="4" t="e">
        <f t="shared" si="334"/>
        <v>#REF!</v>
      </c>
      <c r="GS178" s="7" t="e">
        <f t="shared" si="277"/>
        <v>#REF!</v>
      </c>
      <c r="GT178" s="107" t="e">
        <f>IF($DG$62=0,EX178,IF(GI178-$C$10+1&lt;=$GF$98,0,#REF!-FX178))</f>
        <v>#REF!</v>
      </c>
      <c r="GU178"/>
      <c r="GV178"/>
      <c r="GW178"/>
      <c r="GX178"/>
    </row>
    <row r="179" spans="2:206" ht="16.149999999999999" thickBot="1" x14ac:dyDescent="0.55000000000000004">
      <c r="B179" s="333"/>
      <c r="C179" s="75"/>
      <c r="D179" s="75"/>
      <c r="F179" s="75"/>
      <c r="G179" s="75"/>
      <c r="H179" s="75"/>
      <c r="I179" s="75"/>
      <c r="J179" s="75"/>
      <c r="K179" s="75"/>
      <c r="L179" s="75"/>
      <c r="M179" s="75"/>
      <c r="O179" s="75"/>
      <c r="P179" s="75"/>
      <c r="Q179" s="75"/>
      <c r="R179" s="75"/>
      <c r="S179" s="290"/>
      <c r="T179" s="291"/>
      <c r="U179" s="291"/>
      <c r="V179" s="292"/>
      <c r="W179" s="292"/>
      <c r="AB179" s="117">
        <f t="shared" si="207"/>
        <v>127</v>
      </c>
      <c r="AC179" s="117">
        <f t="shared" si="208"/>
        <v>2120</v>
      </c>
      <c r="AD179" s="299">
        <f>IF($C$20="NEIN",$C$21,IF($C$22="JA",'HISTORISCHE RENDITEN'!E103,'HISTORISCHE RENDITEN'!D103))</f>
        <v>-0.17079999999999998</v>
      </c>
      <c r="AE179" s="129">
        <f t="shared" si="278"/>
        <v>127</v>
      </c>
      <c r="AF179" s="120">
        <f t="shared" si="280"/>
        <v>2120</v>
      </c>
      <c r="AG179" s="122">
        <f t="shared" si="281"/>
        <v>0</v>
      </c>
      <c r="AH179" s="124">
        <f t="shared" si="282"/>
        <v>430891.77838569693</v>
      </c>
      <c r="AI179" s="296">
        <f t="shared" si="283"/>
        <v>-14164252.102050344</v>
      </c>
      <c r="AJ179" s="123">
        <f t="shared" si="233"/>
        <v>0</v>
      </c>
      <c r="AK179" s="124">
        <f t="shared" si="284"/>
        <v>-11744997.843020145</v>
      </c>
      <c r="AL179" s="122">
        <f t="shared" si="285"/>
        <v>2419254.2590301987</v>
      </c>
      <c r="AM179" s="122">
        <f>IF($C$25="Ausschütter",0,IF(AL179&gt;=0,(AI179+AJ179)*$C$48*0.7))</f>
        <v>-6940.483530004668</v>
      </c>
      <c r="AN179" s="122">
        <f t="shared" si="323"/>
        <v>0</v>
      </c>
      <c r="AO179" s="122">
        <f t="shared" si="212"/>
        <v>-6940.483530004668</v>
      </c>
      <c r="AP179" s="122">
        <f t="shared" si="286"/>
        <v>3672.3846487673809</v>
      </c>
      <c r="AQ179" s="122">
        <f>IF($C$25="AUSSCHÜTTER",0,IF(AO179*$C$46*$C$49&lt;=$C$47,0,AO179*$C$46*$C$49))</f>
        <v>0</v>
      </c>
      <c r="AR179" s="122">
        <f>IF(AO178*$C$49&gt;$C$47,(AN179)*$C$49*$C$46,IF((AO178+AN179)*$C$49&gt;$C$47,((AO178+AN179)*$C$49-$C$47)*$C$46,0))</f>
        <v>0</v>
      </c>
      <c r="AS179" s="122">
        <f t="shared" si="287"/>
        <v>0</v>
      </c>
      <c r="AT179" s="122">
        <f t="shared" si="288"/>
        <v>430891.77838569693</v>
      </c>
      <c r="AU179" s="122">
        <f t="shared" si="289"/>
        <v>0</v>
      </c>
      <c r="AV179" s="122">
        <f t="shared" si="290"/>
        <v>-11744997.843020145</v>
      </c>
      <c r="AW179" s="122">
        <f t="shared" si="335"/>
        <v>0</v>
      </c>
      <c r="AX179" s="130">
        <f t="shared" si="336"/>
        <v>0</v>
      </c>
      <c r="AY179" s="82">
        <f>IF(AF179&lt;$C$11,$C$15*(1+$C$19)^(AF179-$C$10),0)</f>
        <v>0</v>
      </c>
      <c r="AZ179" s="82">
        <f>$C$14*(1+$C$37)^(AF179-$C$10)</f>
        <v>207460.38470157882</v>
      </c>
      <c r="BA179" s="165">
        <f>IF(AF179&lt;$C$11,0,MAX($C$38*AI179,AZ179))</f>
        <v>207460.38470157882</v>
      </c>
      <c r="BB179" s="82">
        <f>IF(AF179&lt;$C$11,0,MAX($C$38*AI179,AZ179))</f>
        <v>207460.38470157882</v>
      </c>
      <c r="BC179" s="136">
        <f>IF($C$39="JA",CT179,DG179)</f>
        <v>54717.676465041412</v>
      </c>
      <c r="BD179" s="82">
        <f t="shared" si="324"/>
        <v>0</v>
      </c>
      <c r="BE179" s="82">
        <f>IF(AF179&lt;($C$8+$C$30),0,$C$29*12*(1-$C$31))</f>
        <v>0</v>
      </c>
      <c r="BF179" s="82">
        <f>IF(AF179&lt;($C$8+$C$34),0,$C$33*12*(1-$C$35))</f>
        <v>0</v>
      </c>
      <c r="BG179" s="82">
        <f>IF(AF179&lt;$C$11,0,IF(AI179&lt;0,$C$42*(1+$C$44)^(AF179-$C$10),IF(((AL179+BE179+BF179)*$C$41)&lt;$C$42*(1+$C$44)^(AF179-$C$10),$C$42*(1+$C$44)^(AF179-$C$10),IF(((AL179+BE179+BF179)*$C$41)&lt;$C$43*(1+$C$44)^(AF179-$C$10),(AL179+BE179+BF179)*$C$41,IF(((AL179+BE179+BF179+BB179)*$C$41)&lt;$C$43*(1+$C$44)^(AF179-$C$10),((AL179+BE179+BF179+BB179)*$C$41),$C$43*(1+$C$44)^(AF179-$C$10))))))</f>
        <v>10479.713851093973</v>
      </c>
      <c r="BH179" s="82">
        <f t="shared" si="238"/>
        <v>272657.77501771419</v>
      </c>
      <c r="BI179" s="242">
        <f t="shared" si="291"/>
        <v>-11744997.843020145</v>
      </c>
      <c r="BJ179" s="217">
        <f t="shared" si="292"/>
        <v>-12017655.618037859</v>
      </c>
      <c r="BK179" s="118"/>
      <c r="BL179" s="219">
        <f t="shared" si="293"/>
        <v>83</v>
      </c>
      <c r="BM179" s="220">
        <f t="shared" si="294"/>
        <v>100</v>
      </c>
      <c r="BN179" s="220">
        <f t="shared" si="295"/>
        <v>0</v>
      </c>
      <c r="BO179" s="221">
        <f t="shared" si="296"/>
        <v>0</v>
      </c>
      <c r="BP179" s="221">
        <f t="shared" si="297"/>
        <v>0</v>
      </c>
      <c r="BQ179" s="222">
        <f t="shared" si="298"/>
        <v>0</v>
      </c>
      <c r="BR179" s="223">
        <f>IF(BM179&lt;$C$11-$C$10+1,0,IF(BL179&lt;=$C$13,VLOOKUP(BL179,$BN$80:$BQ$156,2,FALSE)-BS179,0))</f>
        <v>0</v>
      </c>
      <c r="BS179" s="223">
        <f>IF(BM179&lt;$C$11-$C$10+1,0,IF(BL179&lt;=$C$13,VLOOKUP(BL179,$BN$80:$BQ$156,3,FALSE),0))</f>
        <v>0</v>
      </c>
      <c r="BT179" s="222">
        <f>IF(BM179&lt;$C$11-$C$10+1,0,IF(BL179&lt;=$C$13,VLOOKUP(BL179,$BN$80:$BQ$156,4,FALSE),0))</f>
        <v>0</v>
      </c>
      <c r="BU179" s="223">
        <f t="shared" si="299"/>
        <v>0</v>
      </c>
      <c r="BV179" s="223">
        <f t="shared" si="300"/>
        <v>0</v>
      </c>
      <c r="BW179" s="223">
        <f t="shared" si="301"/>
        <v>0</v>
      </c>
      <c r="BX179" s="223">
        <f>IF(AND(BS179&lt;=0,BN179=0),MIN((MAX($BZ$80:$BZ$156)-SUM($BX$80:BX178)),CA179),IF(BS179&lt;CA179,BS179,CA179))</f>
        <v>0</v>
      </c>
      <c r="BY179" s="222">
        <f>IF(BN179&gt;0,0,IF(AND(BN179=0,BT179&lt;=0),100%,((BW178*(AVERAGE($BT$80:BT178))+(BR179*BT179))/(BR179+BW178+BS179+BV178))))</f>
        <v>1</v>
      </c>
      <c r="BZ179" s="139">
        <f t="shared" si="302"/>
        <v>430891.77838569693</v>
      </c>
      <c r="CA179" s="122">
        <f t="shared" si="303"/>
        <v>207460.38470157882</v>
      </c>
      <c r="CB179" s="181">
        <f t="shared" si="304"/>
        <v>1</v>
      </c>
      <c r="CC179" s="122">
        <f t="shared" si="305"/>
        <v>7598118.3221873762</v>
      </c>
      <c r="CD179" s="182">
        <f t="shared" si="306"/>
        <v>0</v>
      </c>
      <c r="CE179" s="122">
        <f t="shared" si="307"/>
        <v>430891.77838569693</v>
      </c>
      <c r="CF179" s="122">
        <f t="shared" si="308"/>
        <v>0</v>
      </c>
      <c r="CG179" s="122" t="str">
        <f t="shared" si="309"/>
        <v/>
      </c>
      <c r="CH179" s="140">
        <f t="shared" si="310"/>
        <v>1</v>
      </c>
      <c r="CI179" s="142">
        <f t="shared" si="311"/>
        <v>9984</v>
      </c>
      <c r="CJ179" s="134">
        <f>CI179*$C$57</f>
        <v>0</v>
      </c>
      <c r="CK179" s="142">
        <f t="shared" si="312"/>
        <v>14926</v>
      </c>
      <c r="CL179" s="134">
        <f>CK179*$C$57</f>
        <v>0</v>
      </c>
      <c r="CM179" s="142">
        <f t="shared" si="313"/>
        <v>58596</v>
      </c>
      <c r="CN179" s="134">
        <f>CM179*$C$57</f>
        <v>0</v>
      </c>
      <c r="CO179" s="132">
        <f t="shared" si="314"/>
        <v>207460.38470157882</v>
      </c>
      <c r="CP179" s="140">
        <f t="shared" si="315"/>
        <v>0.42</v>
      </c>
      <c r="CQ179" s="121" t="str">
        <f>IF($C$50="NEIN","NEIN",IF(CS179&lt;CR179,"JA","NEIN"))</f>
        <v>NEIN</v>
      </c>
      <c r="CR179" s="121">
        <f>CO179*$C$46</f>
        <v>54717.676465041412</v>
      </c>
      <c r="CS179" s="121">
        <f t="shared" si="316"/>
        <v>77865.831574663098</v>
      </c>
      <c r="CT179" s="201">
        <f>IF($C$50="NEIN",CR179,IF(CQ179="NEIN",CR179,CS179))</f>
        <v>54717.676465041412</v>
      </c>
      <c r="CU179" s="149"/>
      <c r="CV179" s="202">
        <f t="shared" si="317"/>
        <v>9984</v>
      </c>
      <c r="CW179" s="134">
        <f>CV179*$C$57</f>
        <v>0</v>
      </c>
      <c r="CX179" s="142">
        <f t="shared" si="318"/>
        <v>14926</v>
      </c>
      <c r="CY179" s="134">
        <f>CX179*$C$57</f>
        <v>0</v>
      </c>
      <c r="CZ179" s="142">
        <f t="shared" si="319"/>
        <v>58596</v>
      </c>
      <c r="DA179" s="143">
        <f>CZ179*$C$57</f>
        <v>0</v>
      </c>
      <c r="DB179" s="165">
        <f t="shared" si="320"/>
        <v>207460.38470157882</v>
      </c>
      <c r="DC179" s="140">
        <f t="shared" si="321"/>
        <v>0.42</v>
      </c>
      <c r="DD179" s="121" t="str">
        <f>IF($C$50="NEIN","NEIN",IF(DF179&lt;DE179,"JA","NEIN"))</f>
        <v>NEIN</v>
      </c>
      <c r="DE179" s="121">
        <f>DB179*$C$46</f>
        <v>54717.676465041412</v>
      </c>
      <c r="DF179" s="121">
        <f t="shared" si="322"/>
        <v>77865.831574663098</v>
      </c>
      <c r="DG179" s="201">
        <f>IF($C$50="NEIN",DE179,IF(DD179="NEIN",DE179,DF179))</f>
        <v>54717.676465041412</v>
      </c>
      <c r="DH179" s="97"/>
      <c r="DI179" s="125"/>
      <c r="DN179" s="75"/>
      <c r="DO179" s="28">
        <f t="shared" si="247"/>
        <v>2120</v>
      </c>
      <c r="DP179" s="17">
        <f>IF($C$13+$C$10&gt;=DO179,-#REF!,IF(DO179=$C$13+$C$10+1,$EK$93,0))</f>
        <v>0</v>
      </c>
      <c r="DQ179" s="17" t="e">
        <f t="shared" si="248"/>
        <v>#REF!</v>
      </c>
      <c r="DR179" s="17" t="e">
        <f t="shared" si="249"/>
        <v>#REF!</v>
      </c>
      <c r="DS179" s="17" t="e">
        <f>#REF!+EB178</f>
        <v>#REF!</v>
      </c>
      <c r="DT179" s="17" t="e">
        <f t="shared" si="325"/>
        <v>#REF!</v>
      </c>
      <c r="DU179" s="17" t="e">
        <f t="shared" si="250"/>
        <v>#REF!</v>
      </c>
      <c r="DV179" s="33" t="e">
        <f t="shared" si="326"/>
        <v>#REF!</v>
      </c>
      <c r="DW179" s="32" t="e">
        <f t="shared" si="193"/>
        <v>#REF!</v>
      </c>
      <c r="DX179" s="17" t="e">
        <f t="shared" si="251"/>
        <v>#REF!</v>
      </c>
      <c r="DY179" s="17" t="e">
        <f t="shared" si="252"/>
        <v>#REF!</v>
      </c>
      <c r="DZ179" s="17" t="e">
        <f t="shared" si="194"/>
        <v>#REF!</v>
      </c>
      <c r="EA179" s="17" t="e">
        <f t="shared" si="224"/>
        <v>#REF!</v>
      </c>
      <c r="EB179" s="15" t="e">
        <f t="shared" si="337"/>
        <v>#REF!</v>
      </c>
      <c r="EC179" s="15">
        <f>IF(DP179=0,EC178,IF(DO179&lt;=$EK$88+$C$10,ABS(DP179)+EC178,EC178))</f>
        <v>430891.77838569693</v>
      </c>
      <c r="ED179" s="15" t="e">
        <f t="shared" si="253"/>
        <v>#REF!</v>
      </c>
      <c r="EE179" s="16" t="e">
        <f t="shared" si="254"/>
        <v>#REF!</v>
      </c>
      <c r="EF179" s="15" t="e">
        <f>IF(DS179&lt;=0,0,DS179-#REF!)</f>
        <v>#REF!</v>
      </c>
      <c r="EG179" s="15" t="e">
        <f t="shared" si="255"/>
        <v>#REF!</v>
      </c>
      <c r="EH179" s="16"/>
      <c r="EI179" s="16"/>
      <c r="EJ179"/>
      <c r="EK179"/>
      <c r="EL179"/>
      <c r="EM179" s="28">
        <f t="shared" si="256"/>
        <v>2120</v>
      </c>
      <c r="EN179" s="29">
        <f>IF($C$13+$C$10&gt;=EM179,-(#REF!),IF(EM179=$C$13+$C$10+1,$FB$93,0))</f>
        <v>0</v>
      </c>
      <c r="EO179" s="30" t="e">
        <f t="shared" si="257"/>
        <v>#REF!</v>
      </c>
      <c r="EP179" s="30" t="e">
        <f t="shared" si="258"/>
        <v>#REF!</v>
      </c>
      <c r="EQ179" s="30" t="e">
        <f>#REF!-EV178</f>
        <v>#REF!</v>
      </c>
      <c r="ER179" s="25" t="e">
        <f t="shared" si="327"/>
        <v>#REF!</v>
      </c>
      <c r="ES179" s="30" t="e">
        <f t="shared" si="259"/>
        <v>#REF!</v>
      </c>
      <c r="ET179" s="26" t="e">
        <f t="shared" si="328"/>
        <v>#REF!</v>
      </c>
      <c r="EU179" s="30" t="e">
        <f t="shared" si="260"/>
        <v>#REF!</v>
      </c>
      <c r="EV179" s="25" t="e">
        <f t="shared" si="329"/>
        <v>#REF!</v>
      </c>
      <c r="EW179" s="31" t="e">
        <f t="shared" si="261"/>
        <v>#REF!</v>
      </c>
      <c r="EX179" s="27">
        <f>IF(EM179=0,EX178,IF(EM179&lt;=$FB$88+$C$10,ABS(EN179)+EX178,EX178))</f>
        <v>430891.77838569693</v>
      </c>
      <c r="EY179" s="15"/>
      <c r="EZ179"/>
      <c r="FA179"/>
      <c r="FB179"/>
      <c r="FJ179" s="28">
        <f t="shared" si="262"/>
        <v>2120</v>
      </c>
      <c r="FK179" s="65">
        <f>IF($C$13+$C$10&gt;=FJ179,-#REF!,IF(FJ179=$C$13+$C$10+1,$EK$93,0))</f>
        <v>0</v>
      </c>
      <c r="FL179" s="65">
        <f t="shared" si="263"/>
        <v>74118.803999999975</v>
      </c>
      <c r="FM179" s="65">
        <f t="shared" si="264"/>
        <v>7755748.9845080012</v>
      </c>
      <c r="FN179" s="65">
        <f>IF(FY178&gt;=$GF$97,0,#REF!+FW178)</f>
        <v>0</v>
      </c>
      <c r="FO179" s="65">
        <f t="shared" si="330"/>
        <v>8298651.4134235615</v>
      </c>
      <c r="FP179" s="65">
        <f t="shared" si="265"/>
        <v>542902.42891556025</v>
      </c>
      <c r="FQ179" s="59">
        <f t="shared" si="331"/>
        <v>3800.3170024089204</v>
      </c>
      <c r="FR179" s="60">
        <f t="shared" si="201"/>
        <v>165973.02826847124</v>
      </c>
      <c r="FS179" s="65">
        <f t="shared" si="266"/>
        <v>0</v>
      </c>
      <c r="FT179" s="65">
        <f t="shared" si="267"/>
        <v>0</v>
      </c>
      <c r="FU179" s="65">
        <f t="shared" si="202"/>
        <v>0</v>
      </c>
      <c r="FV179" s="65">
        <f t="shared" si="228"/>
        <v>30431.506594066497</v>
      </c>
      <c r="FW179" s="61">
        <f t="shared" si="338"/>
        <v>135541.52167440474</v>
      </c>
      <c r="FX179" s="61">
        <f>IF(AND(FJ179&lt;=$GF$88+$C$10,FV178&lt;=0,FN179&gt;0),(FJ179-$C$10+1)*#REF!+$GF$80,FX178)</f>
        <v>73074.599999999977</v>
      </c>
      <c r="FY179" s="62">
        <f t="shared" si="230"/>
        <v>144.04509336820206</v>
      </c>
      <c r="FZ179" s="63">
        <f t="shared" si="268"/>
        <v>8298651.4134235615</v>
      </c>
      <c r="GA179" s="64">
        <f t="shared" si="269"/>
        <v>158280.59152057144</v>
      </c>
      <c r="GB179" s="64">
        <f t="shared" si="270"/>
        <v>3382446.2111701863</v>
      </c>
      <c r="GC179" s="66">
        <f>IF(FN179&lt;=0,0,FN179-#REF!)</f>
        <v>0</v>
      </c>
      <c r="GD179" s="64">
        <f t="shared" si="271"/>
        <v>1580.6039999999994</v>
      </c>
      <c r="GE179"/>
      <c r="GF179"/>
      <c r="GI179" s="28">
        <f t="shared" si="272"/>
        <v>2120</v>
      </c>
      <c r="GJ179" s="9">
        <f>IF($GX$88+$C$10&gt;=GI179,-#REF!,IF(GI179=$GX$88+$C$10+1,$FB$93,0))</f>
        <v>0</v>
      </c>
      <c r="GK179" s="5" t="e">
        <f t="shared" si="273"/>
        <v>#REF!</v>
      </c>
      <c r="GL179" s="5" t="e">
        <f t="shared" si="274"/>
        <v>#REF!</v>
      </c>
      <c r="GM179" s="35" t="e">
        <f>IF(FX178=$GF$94,#REF!-GR178+FW178,0)</f>
        <v>#REF!</v>
      </c>
      <c r="GN179" s="4" t="e">
        <f t="shared" si="332"/>
        <v>#REF!</v>
      </c>
      <c r="GO179" s="5" t="e">
        <f t="shared" si="275"/>
        <v>#REF!</v>
      </c>
      <c r="GP179" s="5" t="e">
        <f t="shared" si="333"/>
        <v>#REF!</v>
      </c>
      <c r="GQ179" s="5" t="e">
        <f t="shared" si="276"/>
        <v>#REF!</v>
      </c>
      <c r="GR179" s="4" t="e">
        <f t="shared" si="334"/>
        <v>#REF!</v>
      </c>
      <c r="GS179" s="7" t="e">
        <f t="shared" si="277"/>
        <v>#REF!</v>
      </c>
      <c r="GT179" s="107" t="e">
        <f>IF($DG$62=0,EX179,IF(GI179-$C$10+1&lt;=$GF$98,0,#REF!-FX179))</f>
        <v>#REF!</v>
      </c>
      <c r="GU179"/>
      <c r="GV179"/>
      <c r="GW179"/>
      <c r="GX179"/>
    </row>
    <row r="180" spans="2:206" ht="15.75" x14ac:dyDescent="0.5">
      <c r="B180" s="333"/>
      <c r="C180" s="75"/>
      <c r="D180" s="75"/>
      <c r="F180" s="75"/>
      <c r="G180" s="75"/>
      <c r="H180" s="75"/>
      <c r="I180" s="75"/>
      <c r="J180" s="75"/>
      <c r="K180" s="75"/>
      <c r="L180" s="75"/>
      <c r="M180" s="75"/>
      <c r="O180" s="75"/>
      <c r="P180" s="75"/>
      <c r="Q180" s="75"/>
      <c r="R180" s="75"/>
      <c r="S180" s="290"/>
      <c r="T180" s="291"/>
      <c r="U180" s="291"/>
      <c r="V180" s="292"/>
      <c r="W180" s="292"/>
      <c r="AB180" s="117">
        <f t="shared" si="207"/>
        <v>128</v>
      </c>
      <c r="AC180" s="117">
        <f t="shared" si="208"/>
        <v>2121</v>
      </c>
      <c r="AD180" s="299">
        <f>IF($C$20="NEIN",$C$21,IF($C$22="JA",'HISTORISCHE RENDITEN'!E104,'HISTORISCHE RENDITEN'!D104))</f>
        <v>-0.27829999999999999</v>
      </c>
      <c r="AE180" s="129">
        <f t="shared" si="278"/>
        <v>128</v>
      </c>
      <c r="AF180" s="120">
        <f t="shared" si="280"/>
        <v>2121</v>
      </c>
      <c r="AG180" s="122">
        <f t="shared" si="281"/>
        <v>0</v>
      </c>
      <c r="AH180" s="124">
        <f t="shared" si="282"/>
        <v>430891.77838569693</v>
      </c>
      <c r="AI180" s="296">
        <f t="shared" si="283"/>
        <v>-12017655.618037859</v>
      </c>
      <c r="AJ180" s="123">
        <f t="shared" si="233"/>
        <v>0</v>
      </c>
      <c r="AK180" s="124">
        <f t="shared" si="284"/>
        <v>-8673142.059537923</v>
      </c>
      <c r="AL180" s="122">
        <f t="shared" si="285"/>
        <v>3344513.558499936</v>
      </c>
      <c r="AM180" s="122">
        <f>IF($C$25="Ausschütter",0,IF(AL180&gt;=0,(AI180+AJ180)*$C$48*0.7))</f>
        <v>-5888.6512528385501</v>
      </c>
      <c r="AN180" s="122">
        <f t="shared" si="323"/>
        <v>0</v>
      </c>
      <c r="AO180" s="122">
        <f t="shared" si="212"/>
        <v>-5888.6512528385501</v>
      </c>
      <c r="AP180" s="122">
        <f t="shared" si="286"/>
        <v>-2216.2666040711692</v>
      </c>
      <c r="AQ180" s="122">
        <f>IF($C$25="AUSSCHÜTTER",0,IF(AO180*$C$46*$C$49&lt;=$C$47,0,AO180*$C$46*$C$49))</f>
        <v>0</v>
      </c>
      <c r="AR180" s="122">
        <f>IF(AO179*$C$49&gt;$C$47,(AN180)*$C$49*$C$46,IF((AO179+AN180)*$C$49&gt;$C$47,((AO179+AN180)*$C$49-$C$47)*$C$46,0))</f>
        <v>0</v>
      </c>
      <c r="AS180" s="122">
        <f t="shared" si="287"/>
        <v>0</v>
      </c>
      <c r="AT180" s="122">
        <f t="shared" si="288"/>
        <v>430891.77838569693</v>
      </c>
      <c r="AU180" s="122">
        <f t="shared" si="289"/>
        <v>0</v>
      </c>
      <c r="AV180" s="122">
        <f t="shared" si="290"/>
        <v>-8673142.059537923</v>
      </c>
      <c r="AW180" s="122">
        <f t="shared" si="335"/>
        <v>0</v>
      </c>
      <c r="AX180" s="130">
        <f t="shared" si="336"/>
        <v>0</v>
      </c>
      <c r="AY180" s="82">
        <f>IF(AF180&lt;$C$11,$C$15*(1+$C$19)^(AF180-$C$10),0)</f>
        <v>0</v>
      </c>
      <c r="AZ180" s="82">
        <f>$C$14*(1+$C$37)^(AF180-$C$10)</f>
        <v>212646.89431911832</v>
      </c>
      <c r="BA180" s="165">
        <f>IF(AF180&lt;$C$11,0,MAX($C$38*AI180,AZ180))</f>
        <v>212646.89431911832</v>
      </c>
      <c r="BB180" s="82">
        <f>IF(AF180&lt;$C$11,0,MAX($C$38*AI180,AZ180))</f>
        <v>212646.89431911832</v>
      </c>
      <c r="BC180" s="136">
        <f>IF($C$39="JA",CT180,DG180)</f>
        <v>56085.618376667451</v>
      </c>
      <c r="BD180" s="82">
        <f t="shared" si="324"/>
        <v>0</v>
      </c>
      <c r="BE180" s="82">
        <f>IF(AF180&lt;($C$8+$C$30),0,$C$29*12*(1-$C$31))</f>
        <v>0</v>
      </c>
      <c r="BF180" s="82">
        <f>IF(AF180&lt;($C$8+$C$34),0,$C$33*12*(1-$C$35))</f>
        <v>0</v>
      </c>
      <c r="BG180" s="82">
        <f>IF(AF180&lt;$C$11,0,IF(AI180&lt;0,$C$42*(1+$C$44)^(AF180-$C$10),IF(((AL180+BE180+BF180)*$C$41)&lt;$C$42*(1+$C$44)^(AF180-$C$10),$C$42*(1+$C$44)^(AF180-$C$10),IF(((AL180+BE180+BF180)*$C$41)&lt;$C$43*(1+$C$44)^(AF180-$C$10),(AL180+BE180+BF180)*$C$41,IF(((AL180+BE180+BF180+BB180)*$C$41)&lt;$C$43*(1+$C$44)^(AF180-$C$10),((AL180+BE180+BF180+BB180)*$C$41),$C$43*(1+$C$44)^(AF180-$C$10))))))</f>
        <v>10636.909558860381</v>
      </c>
      <c r="BH180" s="82">
        <f t="shared" si="238"/>
        <v>279369.42225464614</v>
      </c>
      <c r="BI180" s="242">
        <f t="shared" si="291"/>
        <v>-8673142.059537923</v>
      </c>
      <c r="BJ180" s="217">
        <f t="shared" si="292"/>
        <v>-8952511.4817925692</v>
      </c>
      <c r="BK180" s="118"/>
      <c r="BL180" s="219">
        <f t="shared" si="293"/>
        <v>84</v>
      </c>
      <c r="BM180" s="220">
        <f t="shared" si="294"/>
        <v>101</v>
      </c>
      <c r="BN180" s="220">
        <f t="shared" si="295"/>
        <v>0</v>
      </c>
      <c r="BO180" s="221">
        <f t="shared" si="296"/>
        <v>0</v>
      </c>
      <c r="BP180" s="221">
        <f t="shared" si="297"/>
        <v>0</v>
      </c>
      <c r="BQ180" s="222">
        <f t="shared" si="298"/>
        <v>0</v>
      </c>
      <c r="BR180" s="223">
        <f>IF(BM180&lt;$C$11-$C$10+1,0,IF(BL180&lt;=$C$13,VLOOKUP(BL180,$BN$80:$BQ$156,2,FALSE)-BS180,0))</f>
        <v>0</v>
      </c>
      <c r="BS180" s="223">
        <f>IF(BM180&lt;$C$11-$C$10+1,0,IF(BL180&lt;=$C$13,VLOOKUP(BL180,$BN$80:$BQ$156,3,FALSE),0))</f>
        <v>0</v>
      </c>
      <c r="BT180" s="222">
        <f>IF(BM180&lt;$C$11-$C$10+1,0,IF(BL180&lt;=$C$13,VLOOKUP(BL180,$BN$80:$BQ$156,4,FALSE),0))</f>
        <v>0</v>
      </c>
      <c r="BU180" s="223">
        <f t="shared" si="299"/>
        <v>0</v>
      </c>
      <c r="BV180" s="223">
        <f t="shared" si="300"/>
        <v>0</v>
      </c>
      <c r="BW180" s="223">
        <f t="shared" si="301"/>
        <v>0</v>
      </c>
      <c r="BX180" s="223">
        <f>IF(AND(BS180&lt;=0,BN180=0),MIN((MAX($BZ$80:$BZ$156)-SUM($BX$80:BX179)),CA180),IF(BS180&lt;CA180,BS180,CA180))</f>
        <v>0</v>
      </c>
      <c r="BY180" s="222">
        <f>IF(BN180&gt;0,0,IF(AND(BN180=0,BT180&lt;=0),100%,((BW179*(AVERAGE($BT$80:BT179))+(BR180*BT180))/(BR180+BW179+BS180+BV179))))</f>
        <v>1</v>
      </c>
      <c r="BZ180" s="139">
        <f t="shared" si="302"/>
        <v>430891.77838569693</v>
      </c>
      <c r="CA180" s="122">
        <f t="shared" si="303"/>
        <v>212646.89431911832</v>
      </c>
      <c r="CB180" s="181">
        <f t="shared" si="304"/>
        <v>1</v>
      </c>
      <c r="CC180" s="122">
        <f t="shared" si="305"/>
        <v>7810765.2165064942</v>
      </c>
      <c r="CD180" s="182">
        <f t="shared" si="306"/>
        <v>0</v>
      </c>
      <c r="CE180" s="122">
        <f t="shared" si="307"/>
        <v>430891.77838569693</v>
      </c>
      <c r="CF180" s="122">
        <f t="shared" si="308"/>
        <v>0</v>
      </c>
      <c r="CG180" s="122" t="str">
        <f t="shared" si="309"/>
        <v/>
      </c>
      <c r="CH180" s="140">
        <f t="shared" si="310"/>
        <v>1</v>
      </c>
      <c r="CI180" s="142">
        <f t="shared" si="311"/>
        <v>9984</v>
      </c>
      <c r="CJ180" s="134">
        <f>CI180*$C$57</f>
        <v>0</v>
      </c>
      <c r="CK180" s="142">
        <f t="shared" si="312"/>
        <v>14926</v>
      </c>
      <c r="CL180" s="134">
        <f>CK180*$C$57</f>
        <v>0</v>
      </c>
      <c r="CM180" s="142">
        <f t="shared" si="313"/>
        <v>58596</v>
      </c>
      <c r="CN180" s="134">
        <f>CM180*$C$57</f>
        <v>0</v>
      </c>
      <c r="CO180" s="132">
        <f t="shared" si="314"/>
        <v>212646.89431911832</v>
      </c>
      <c r="CP180" s="140">
        <f t="shared" si="315"/>
        <v>0.42</v>
      </c>
      <c r="CQ180" s="121" t="str">
        <f>IF($C$50="NEIN","NEIN",IF(CS180&lt;CR180,"JA","NEIN"))</f>
        <v>NEIN</v>
      </c>
      <c r="CR180" s="121">
        <f>CO180*$C$46</f>
        <v>56085.618376667451</v>
      </c>
      <c r="CS180" s="121">
        <f t="shared" si="316"/>
        <v>80044.165614029698</v>
      </c>
      <c r="CT180" s="201">
        <f>IF($C$50="NEIN",CR180,IF(CQ180="NEIN",CR180,CS180))</f>
        <v>56085.618376667451</v>
      </c>
      <c r="CU180" s="149"/>
      <c r="CV180" s="202">
        <f t="shared" si="317"/>
        <v>9984</v>
      </c>
      <c r="CW180" s="134">
        <f>CV180*$C$57</f>
        <v>0</v>
      </c>
      <c r="CX180" s="142">
        <f t="shared" si="318"/>
        <v>14926</v>
      </c>
      <c r="CY180" s="134">
        <f>CX180*$C$57</f>
        <v>0</v>
      </c>
      <c r="CZ180" s="142">
        <f t="shared" si="319"/>
        <v>58596</v>
      </c>
      <c r="DA180" s="143">
        <f>CZ180*$C$57</f>
        <v>0</v>
      </c>
      <c r="DB180" s="165">
        <f t="shared" si="320"/>
        <v>212646.89431911832</v>
      </c>
      <c r="DC180" s="140">
        <f t="shared" si="321"/>
        <v>0.42</v>
      </c>
      <c r="DD180" s="121" t="str">
        <f>IF($C$50="NEIN","NEIN",IF(DF180&lt;DE180,"JA","NEIN"))</f>
        <v>NEIN</v>
      </c>
      <c r="DE180" s="121">
        <f>DB180*$C$46</f>
        <v>56085.618376667451</v>
      </c>
      <c r="DF180" s="121">
        <f t="shared" si="322"/>
        <v>80044.165614029698</v>
      </c>
      <c r="DG180" s="201">
        <f>IF($C$50="NEIN",DE180,IF(DD180="NEIN",DE180,DF180))</f>
        <v>56085.618376667451</v>
      </c>
      <c r="DH180" s="97"/>
      <c r="DI180" s="125"/>
      <c r="DN180" s="75"/>
      <c r="DO180" s="28">
        <f t="shared" ref="DO180" si="339">DO179+1</f>
        <v>2121</v>
      </c>
      <c r="EM180" s="28">
        <f t="shared" si="256"/>
        <v>2121</v>
      </c>
      <c r="EN180" s="29">
        <f>IF($C$13+$C$10&gt;=EM180,-(#REF!),IF(EM180=$C$13+$C$10+1,$FB$93,0))</f>
        <v>0</v>
      </c>
      <c r="EO180" s="30" t="e">
        <f t="shared" si="257"/>
        <v>#REF!</v>
      </c>
      <c r="EP180" s="30" t="e">
        <f t="shared" si="258"/>
        <v>#REF!</v>
      </c>
      <c r="EQ180" s="30" t="e">
        <f>#REF!-EV179</f>
        <v>#REF!</v>
      </c>
      <c r="ER180" s="25" t="e">
        <f t="shared" si="327"/>
        <v>#REF!</v>
      </c>
      <c r="ES180" s="30" t="e">
        <f t="shared" si="259"/>
        <v>#REF!</v>
      </c>
      <c r="ET180" s="26" t="e">
        <f t="shared" si="328"/>
        <v>#REF!</v>
      </c>
      <c r="EU180" s="30" t="e">
        <f t="shared" si="260"/>
        <v>#REF!</v>
      </c>
      <c r="EV180" s="25" t="e">
        <f t="shared" si="329"/>
        <v>#REF!</v>
      </c>
      <c r="EW180" s="31" t="e">
        <f t="shared" si="261"/>
        <v>#REF!</v>
      </c>
      <c r="EX180" s="27">
        <f>IF(EM180=0,EX179,IF(EM180&lt;=$FB$88+$C$10,ABS(EN180)+EX179,EX179))</f>
        <v>430891.77838569693</v>
      </c>
      <c r="EY180" s="15"/>
      <c r="EZ180"/>
      <c r="FA180"/>
      <c r="FB180"/>
      <c r="FJ180" s="28"/>
      <c r="GI180" s="28"/>
    </row>
    <row r="181" spans="2:206" ht="15.75" x14ac:dyDescent="0.5">
      <c r="B181" s="333"/>
      <c r="C181" s="75"/>
      <c r="D181" s="75"/>
      <c r="F181" s="75"/>
      <c r="G181" s="75"/>
      <c r="H181" s="75"/>
      <c r="I181" s="75"/>
      <c r="J181" s="75"/>
      <c r="K181" s="75"/>
      <c r="L181" s="75"/>
      <c r="M181" s="75"/>
      <c r="O181" s="75"/>
      <c r="P181" s="75"/>
      <c r="Q181" s="75"/>
      <c r="R181" s="75"/>
      <c r="S181" s="290"/>
      <c r="T181" s="291"/>
      <c r="U181" s="291"/>
      <c r="V181" s="292"/>
      <c r="W181" s="292"/>
      <c r="AB181" s="117">
        <f t="shared" si="207"/>
        <v>129</v>
      </c>
      <c r="AC181" s="117">
        <f t="shared" si="208"/>
        <v>2122</v>
      </c>
      <c r="AD181" s="299">
        <f>IF($C$20="NEIN",$C$21,IF($C$22="JA",'HISTORISCHE RENDITEN'!E105,'HISTORISCHE RENDITEN'!D105))</f>
        <v>0.28910000000000002</v>
      </c>
      <c r="AE181" s="129">
        <f t="shared" si="278"/>
        <v>129</v>
      </c>
      <c r="AF181" s="120">
        <f t="shared" si="280"/>
        <v>2122</v>
      </c>
      <c r="AG181" s="122">
        <f t="shared" si="281"/>
        <v>0</v>
      </c>
      <c r="AH181" s="124">
        <f t="shared" si="282"/>
        <v>430891.77838569693</v>
      </c>
      <c r="AI181" s="296">
        <f t="shared" si="283"/>
        <v>-8952511.4817925692</v>
      </c>
      <c r="AJ181" s="123">
        <f t="shared" si="233"/>
        <v>0</v>
      </c>
      <c r="AK181" s="124">
        <f t="shared" si="284"/>
        <v>-11540682.5511788</v>
      </c>
      <c r="AL181" s="122">
        <f t="shared" si="285"/>
        <v>-2588171.0693862308</v>
      </c>
      <c r="AM181" s="122" t="b">
        <f>IF($C$25="Ausschütter",0,IF(AL181&gt;=0,(AI181+AJ181)*$C$48*0.7))</f>
        <v>0</v>
      </c>
      <c r="AN181" s="122">
        <f t="shared" si="323"/>
        <v>0</v>
      </c>
      <c r="AO181" s="122">
        <f t="shared" si="212"/>
        <v>0</v>
      </c>
      <c r="AP181" s="122">
        <f t="shared" si="286"/>
        <v>-2216.2666040711692</v>
      </c>
      <c r="AQ181" s="122">
        <f>IF($C$25="AUSSCHÜTTER",0,IF(AO181*$C$46*$C$49&lt;=$C$47,0,AO181*$C$46*$C$49))</f>
        <v>0</v>
      </c>
      <c r="AR181" s="122">
        <f>IF(AO180*$C$49&gt;$C$47,(AN181)*$C$49*$C$46,IF((AO180+AN181)*$C$49&gt;$C$47,((AO180+AN181)*$C$49-$C$47)*$C$46,0))</f>
        <v>0</v>
      </c>
      <c r="AS181" s="122">
        <f t="shared" si="287"/>
        <v>0</v>
      </c>
      <c r="AT181" s="122">
        <f t="shared" si="288"/>
        <v>430891.77838569693</v>
      </c>
      <c r="AU181" s="122">
        <f t="shared" si="289"/>
        <v>0</v>
      </c>
      <c r="AV181" s="122">
        <f t="shared" si="290"/>
        <v>-11540682.5511788</v>
      </c>
      <c r="AW181" s="122">
        <f t="shared" si="335"/>
        <v>0</v>
      </c>
      <c r="AX181" s="130">
        <f t="shared" si="336"/>
        <v>0</v>
      </c>
      <c r="AY181" s="82">
        <f>IF(AF181&lt;$C$11,$C$15*(1+$C$19)^(AF181-$C$10),0)</f>
        <v>0</v>
      </c>
      <c r="AZ181" s="82">
        <f>$C$14*(1+$C$37)^(AF181-$C$10)</f>
        <v>217963.06667709624</v>
      </c>
      <c r="BA181" s="165">
        <f>IF(AF181&lt;$C$11,0,MAX($C$38*AI181,AZ181))</f>
        <v>217963.06667709624</v>
      </c>
      <c r="BB181" s="82">
        <f>IF(AF181&lt;$C$11,0,MAX($C$38*AI181,AZ181))</f>
        <v>217963.06667709624</v>
      </c>
      <c r="BC181" s="136">
        <f>IF($C$39="JA",CT181,DG181)</f>
        <v>57487.758836084133</v>
      </c>
      <c r="BD181" s="82">
        <f t="shared" si="324"/>
        <v>0</v>
      </c>
      <c r="BE181" s="82">
        <f>IF(AF181&lt;($C$8+$C$30),0,$C$29*12*(1-$C$31))</f>
        <v>0</v>
      </c>
      <c r="BF181" s="82">
        <f>IF(AF181&lt;($C$8+$C$34),0,$C$33*12*(1-$C$35))</f>
        <v>0</v>
      </c>
      <c r="BG181" s="82">
        <f>IF(AF181&lt;$C$11,0,IF(AI181&lt;0,$C$42*(1+$C$44)^(AF181-$C$10),IF(((AL181+BE181+BF181)*$C$41)&lt;$C$42*(1+$C$44)^(AF181-$C$10),$C$42*(1+$C$44)^(AF181-$C$10),IF(((AL181+BE181+BF181)*$C$41)&lt;$C$43*(1+$C$44)^(AF181-$C$10),(AL181+BE181+BF181)*$C$41,IF(((AL181+BE181+BF181+BB181)*$C$41)&lt;$C$43*(1+$C$44)^(AF181-$C$10),((AL181+BE181+BF181+BB181)*$C$41),$C$43*(1+$C$44)^(AF181-$C$10))))))</f>
        <v>10796.463202243285</v>
      </c>
      <c r="BH181" s="82">
        <f t="shared" si="238"/>
        <v>286247.28871542367</v>
      </c>
      <c r="BI181" s="242">
        <f t="shared" si="291"/>
        <v>-11540682.5511788</v>
      </c>
      <c r="BJ181" s="217">
        <f t="shared" si="292"/>
        <v>-11826929.839894224</v>
      </c>
      <c r="BK181" s="118"/>
      <c r="BL181" s="219">
        <f t="shared" si="293"/>
        <v>85</v>
      </c>
      <c r="BM181" s="220">
        <f t="shared" si="294"/>
        <v>102</v>
      </c>
      <c r="BN181" s="220">
        <f t="shared" si="295"/>
        <v>0</v>
      </c>
      <c r="BO181" s="221">
        <f t="shared" si="296"/>
        <v>0</v>
      </c>
      <c r="BP181" s="221">
        <f t="shared" si="297"/>
        <v>0</v>
      </c>
      <c r="BQ181" s="222">
        <f t="shared" si="298"/>
        <v>0</v>
      </c>
      <c r="BR181" s="223">
        <f>IF(BM181&lt;$C$11-$C$10+1,0,IF(BL181&lt;=$C$13,VLOOKUP(BL181,$BN$80:$BQ$156,2,FALSE)-BS181,0))</f>
        <v>0</v>
      </c>
      <c r="BS181" s="223">
        <f>IF(BM181&lt;$C$11-$C$10+1,0,IF(BL181&lt;=$C$13,VLOOKUP(BL181,$BN$80:$BQ$156,3,FALSE),0))</f>
        <v>0</v>
      </c>
      <c r="BT181" s="222">
        <f>IF(BM181&lt;$C$11-$C$10+1,0,IF(BL181&lt;=$C$13,VLOOKUP(BL181,$BN$80:$BQ$156,4,FALSE),0))</f>
        <v>0</v>
      </c>
      <c r="BU181" s="223">
        <f t="shared" si="299"/>
        <v>0</v>
      </c>
      <c r="BV181" s="223">
        <f t="shared" si="300"/>
        <v>0</v>
      </c>
      <c r="BW181" s="223">
        <f t="shared" si="301"/>
        <v>0</v>
      </c>
      <c r="BX181" s="223">
        <f>IF(AND(BS181&lt;=0,BN181=0),MIN((MAX($BZ$80:$BZ$156)-SUM($BX$80:BX180)),CA181),IF(BS181&lt;CA181,BS181,CA181))</f>
        <v>0</v>
      </c>
      <c r="BY181" s="222">
        <f>IF(BN181&gt;0,0,IF(AND(BN181=0,BT181&lt;=0),100%,((BW180*(AVERAGE($BT$80:BT180))+(BR181*BT181))/(BR181+BW180+BS181+BV180))))</f>
        <v>1</v>
      </c>
      <c r="BZ181" s="139">
        <f t="shared" si="302"/>
        <v>430891.77838569693</v>
      </c>
      <c r="CA181" s="122">
        <f t="shared" si="303"/>
        <v>217963.06667709624</v>
      </c>
      <c r="CB181" s="181">
        <f t="shared" si="304"/>
        <v>1</v>
      </c>
      <c r="CC181" s="122">
        <f t="shared" si="305"/>
        <v>8028728.2831835905</v>
      </c>
      <c r="CD181" s="182">
        <f t="shared" si="306"/>
        <v>0</v>
      </c>
      <c r="CE181" s="122">
        <f t="shared" si="307"/>
        <v>430891.77838569693</v>
      </c>
      <c r="CF181" s="122">
        <f t="shared" si="308"/>
        <v>0</v>
      </c>
      <c r="CG181" s="122" t="str">
        <f t="shared" si="309"/>
        <v/>
      </c>
      <c r="CH181" s="140">
        <f t="shared" si="310"/>
        <v>1</v>
      </c>
      <c r="CI181" s="142">
        <f t="shared" si="311"/>
        <v>9984</v>
      </c>
      <c r="CJ181" s="134">
        <f>CI181*$C$57</f>
        <v>0</v>
      </c>
      <c r="CK181" s="142">
        <f t="shared" si="312"/>
        <v>14926</v>
      </c>
      <c r="CL181" s="134">
        <f>CK181*$C$57</f>
        <v>0</v>
      </c>
      <c r="CM181" s="142">
        <f t="shared" si="313"/>
        <v>58596</v>
      </c>
      <c r="CN181" s="134">
        <f>CM181*$C$57</f>
        <v>0</v>
      </c>
      <c r="CO181" s="132">
        <f t="shared" si="314"/>
        <v>217963.06667709624</v>
      </c>
      <c r="CP181" s="140">
        <f t="shared" si="315"/>
        <v>0.42</v>
      </c>
      <c r="CQ181" s="121" t="str">
        <f>IF($C$50="NEIN","NEIN",IF(CS181&lt;CR181,"JA","NEIN"))</f>
        <v>NEIN</v>
      </c>
      <c r="CR181" s="121">
        <f>CO181*$C$46</f>
        <v>57487.758836084133</v>
      </c>
      <c r="CS181" s="121">
        <f t="shared" si="316"/>
        <v>82276.958004380416</v>
      </c>
      <c r="CT181" s="201">
        <f>IF($C$50="NEIN",CR181,IF(CQ181="NEIN",CR181,CS181))</f>
        <v>57487.758836084133</v>
      </c>
      <c r="CU181" s="149"/>
      <c r="CV181" s="202">
        <f t="shared" si="317"/>
        <v>9984</v>
      </c>
      <c r="CW181" s="134">
        <f>CV181*$C$57</f>
        <v>0</v>
      </c>
      <c r="CX181" s="142">
        <f t="shared" si="318"/>
        <v>14926</v>
      </c>
      <c r="CY181" s="134">
        <f>CX181*$C$57</f>
        <v>0</v>
      </c>
      <c r="CZ181" s="142">
        <f t="shared" si="319"/>
        <v>58596</v>
      </c>
      <c r="DA181" s="143">
        <f>CZ181*$C$57</f>
        <v>0</v>
      </c>
      <c r="DB181" s="165">
        <f t="shared" si="320"/>
        <v>217963.06667709624</v>
      </c>
      <c r="DC181" s="140">
        <f t="shared" si="321"/>
        <v>0.42</v>
      </c>
      <c r="DD181" s="121" t="str">
        <f>IF($C$50="NEIN","NEIN",IF(DF181&lt;DE181,"JA","NEIN"))</f>
        <v>NEIN</v>
      </c>
      <c r="DE181" s="121">
        <f>DB181*$C$46</f>
        <v>57487.758836084133</v>
      </c>
      <c r="DF181" s="121">
        <f t="shared" si="322"/>
        <v>82276.958004380416</v>
      </c>
      <c r="DG181" s="201">
        <f>IF($C$50="NEIN",DE181,IF(DD181="NEIN",DE181,DF181))</f>
        <v>57487.758836084133</v>
      </c>
      <c r="DH181" s="97"/>
      <c r="DI181" s="125"/>
      <c r="DN181" s="75"/>
    </row>
    <row r="182" spans="2:206" ht="15.75" x14ac:dyDescent="0.5">
      <c r="B182" s="333"/>
      <c r="C182" s="75"/>
      <c r="D182" s="75"/>
      <c r="F182" s="75"/>
      <c r="G182" s="75"/>
      <c r="H182" s="75"/>
      <c r="I182" s="75"/>
      <c r="J182" s="75"/>
      <c r="K182" s="75"/>
      <c r="L182" s="75"/>
      <c r="M182" s="75"/>
      <c r="O182" s="75"/>
      <c r="P182" s="75"/>
      <c r="Q182" s="75"/>
      <c r="R182" s="75"/>
      <c r="S182" s="290"/>
      <c r="T182" s="291"/>
      <c r="U182" s="291"/>
      <c r="V182" s="292"/>
      <c r="W182" s="292"/>
      <c r="AB182" s="117">
        <f t="shared" si="207"/>
        <v>130</v>
      </c>
      <c r="AC182" s="117">
        <f t="shared" si="208"/>
        <v>2123</v>
      </c>
      <c r="AD182" s="299">
        <f>IF($C$20="NEIN",$C$21,IF($C$22="JA",'HISTORISCHE RENDITEN'!E106,'HISTORISCHE RENDITEN'!D106))</f>
        <v>0.10310000000000001</v>
      </c>
      <c r="AE182" s="129">
        <f t="shared" si="278"/>
        <v>130</v>
      </c>
      <c r="AF182" s="120">
        <f t="shared" si="280"/>
        <v>2123</v>
      </c>
      <c r="AG182" s="122">
        <f t="shared" si="281"/>
        <v>0</v>
      </c>
      <c r="AH182" s="124">
        <f t="shared" si="282"/>
        <v>430891.77838569693</v>
      </c>
      <c r="AI182" s="296">
        <f t="shared" si="283"/>
        <v>-11826929.839894224</v>
      </c>
      <c r="AJ182" s="123">
        <f t="shared" si="233"/>
        <v>0</v>
      </c>
      <c r="AK182" s="124">
        <f t="shared" si="284"/>
        <v>-13046286.306387318</v>
      </c>
      <c r="AL182" s="122">
        <f t="shared" si="285"/>
        <v>-1219356.4664930943</v>
      </c>
      <c r="AM182" s="122" t="b">
        <f>IF($C$25="Ausschütter",0,IF(AL182&gt;=0,(AI182+AJ182)*$C$48*0.7))</f>
        <v>0</v>
      </c>
      <c r="AN182" s="122">
        <f t="shared" si="323"/>
        <v>0</v>
      </c>
      <c r="AO182" s="122">
        <f t="shared" si="212"/>
        <v>0</v>
      </c>
      <c r="AP182" s="122">
        <f t="shared" si="286"/>
        <v>-2216.2666040711692</v>
      </c>
      <c r="AQ182" s="122">
        <f>IF($C$25="AUSSCHÜTTER",0,IF(AO182*$C$46*$C$49&lt;=$C$47,0,AO182*$C$46*$C$49))</f>
        <v>0</v>
      </c>
      <c r="AR182" s="122">
        <f>IF(AO181*$C$49&gt;$C$47,(AN182)*$C$49*$C$46,IF((AO181+AN182)*$C$49&gt;$C$47,((AO181+AN182)*$C$49-$C$47)*$C$46,0))</f>
        <v>0</v>
      </c>
      <c r="AS182" s="122">
        <f t="shared" si="287"/>
        <v>0</v>
      </c>
      <c r="AT182" s="122">
        <f t="shared" si="288"/>
        <v>430891.77838569693</v>
      </c>
      <c r="AU182" s="122">
        <f t="shared" si="289"/>
        <v>0</v>
      </c>
      <c r="AV182" s="122">
        <f t="shared" si="290"/>
        <v>-13046286.306387318</v>
      </c>
      <c r="AW182" s="122">
        <f t="shared" si="335"/>
        <v>0</v>
      </c>
      <c r="AX182" s="130">
        <f t="shared" si="336"/>
        <v>0</v>
      </c>
      <c r="AY182" s="82">
        <f>IF(AF182&lt;$C$11,$C$15*(1+$C$19)^(AF182-$C$10),0)</f>
        <v>0</v>
      </c>
      <c r="AZ182" s="82">
        <f>$C$14*(1+$C$37)^(AF182-$C$10)</f>
        <v>223412.14334402359</v>
      </c>
      <c r="BA182" s="165">
        <f>IF(AF182&lt;$C$11,0,MAX($C$38*AI182,AZ182))</f>
        <v>223412.14334402359</v>
      </c>
      <c r="BB182" s="82">
        <f>IF(AF182&lt;$C$11,0,MAX($C$38*AI182,AZ182))</f>
        <v>223412.14334402359</v>
      </c>
      <c r="BC182" s="136">
        <f>IF($C$39="JA",CT182,DG182)</f>
        <v>58924.952806986214</v>
      </c>
      <c r="BD182" s="82">
        <f t="shared" si="324"/>
        <v>0</v>
      </c>
      <c r="BE182" s="82">
        <f>IF(AF182&lt;($C$8+$C$30),0,$C$29*12*(1-$C$31))</f>
        <v>0</v>
      </c>
      <c r="BF182" s="82">
        <f>IF(AF182&lt;($C$8+$C$34),0,$C$33*12*(1-$C$35))</f>
        <v>0</v>
      </c>
      <c r="BG182" s="82">
        <f>IF(AF182&lt;$C$11,0,IF(AI182&lt;0,$C$42*(1+$C$44)^(AF182-$C$10),IF(((AL182+BE182+BF182)*$C$41)&lt;$C$42*(1+$C$44)^(AF182-$C$10),$C$42*(1+$C$44)^(AF182-$C$10),IF(((AL182+BE182+BF182)*$C$41)&lt;$C$43*(1+$C$44)^(AF182-$C$10),(AL182+BE182+BF182)*$C$41,IF(((AL182+BE182+BF182+BB182)*$C$41)&lt;$C$43*(1+$C$44)^(AF182-$C$10),((AL182+BE182+BF182+BB182)*$C$41),$C$43*(1+$C$44)^(AF182-$C$10))))))</f>
        <v>10958.410150276932</v>
      </c>
      <c r="BH182" s="82">
        <f t="shared" si="238"/>
        <v>293295.50630128675</v>
      </c>
      <c r="BI182" s="242">
        <f t="shared" si="291"/>
        <v>-13046286.306387318</v>
      </c>
      <c r="BJ182" s="217">
        <f t="shared" si="292"/>
        <v>-13339581.812688606</v>
      </c>
      <c r="BK182" s="118"/>
      <c r="BL182" s="219">
        <f t="shared" si="293"/>
        <v>86</v>
      </c>
      <c r="BM182" s="220">
        <f t="shared" si="294"/>
        <v>103</v>
      </c>
      <c r="BN182" s="220">
        <f t="shared" si="295"/>
        <v>0</v>
      </c>
      <c r="BO182" s="221">
        <f t="shared" si="296"/>
        <v>0</v>
      </c>
      <c r="BP182" s="221">
        <f t="shared" si="297"/>
        <v>0</v>
      </c>
      <c r="BQ182" s="222">
        <f t="shared" si="298"/>
        <v>0</v>
      </c>
      <c r="BR182" s="223">
        <f>IF(BM182&lt;$C$11-$C$10+1,0,IF(BL182&lt;=$C$13,VLOOKUP(BL182,$BN$80:$BQ$156,2,FALSE)-BS182,0))</f>
        <v>0</v>
      </c>
      <c r="BS182" s="223">
        <f>IF(BM182&lt;$C$11-$C$10+1,0,IF(BL182&lt;=$C$13,VLOOKUP(BL182,$BN$80:$BQ$156,3,FALSE),0))</f>
        <v>0</v>
      </c>
      <c r="BT182" s="222">
        <f>IF(BM182&lt;$C$11-$C$10+1,0,IF(BL182&lt;=$C$13,VLOOKUP(BL182,$BN$80:$BQ$156,4,FALSE),0))</f>
        <v>0</v>
      </c>
      <c r="BU182" s="223">
        <f t="shared" si="299"/>
        <v>0</v>
      </c>
      <c r="BV182" s="223">
        <f t="shared" si="300"/>
        <v>0</v>
      </c>
      <c r="BW182" s="223">
        <f t="shared" si="301"/>
        <v>0</v>
      </c>
      <c r="BX182" s="223">
        <f>IF(AND(BS182&lt;=0,BN182=0),MIN((MAX($BZ$80:$BZ$156)-SUM($BX$80:BX181)),CA182),IF(BS182&lt;CA182,BS182,CA182))</f>
        <v>0</v>
      </c>
      <c r="BY182" s="222">
        <f>IF(BN182&gt;0,0,IF(AND(BN182=0,BT182&lt;=0),100%,((BW181*(AVERAGE($BT$80:BT181))+(BR182*BT182))/(BR182+BW181+BS182+BV181))))</f>
        <v>1</v>
      </c>
      <c r="BZ182" s="139">
        <f t="shared" si="302"/>
        <v>430891.77838569693</v>
      </c>
      <c r="CA182" s="122">
        <f t="shared" si="303"/>
        <v>223412.14334402359</v>
      </c>
      <c r="CB182" s="181">
        <f t="shared" si="304"/>
        <v>1</v>
      </c>
      <c r="CC182" s="122">
        <f t="shared" si="305"/>
        <v>8252140.4265276138</v>
      </c>
      <c r="CD182" s="182">
        <f t="shared" si="306"/>
        <v>0</v>
      </c>
      <c r="CE182" s="122">
        <f t="shared" si="307"/>
        <v>430891.77838569693</v>
      </c>
      <c r="CF182" s="122">
        <f t="shared" si="308"/>
        <v>0</v>
      </c>
      <c r="CG182" s="122" t="str">
        <f t="shared" si="309"/>
        <v/>
      </c>
      <c r="CH182" s="140">
        <f t="shared" si="310"/>
        <v>1</v>
      </c>
      <c r="CI182" s="142">
        <f t="shared" si="311"/>
        <v>9984</v>
      </c>
      <c r="CJ182" s="134">
        <f>CI182*$C$57</f>
        <v>0</v>
      </c>
      <c r="CK182" s="142">
        <f t="shared" si="312"/>
        <v>14926</v>
      </c>
      <c r="CL182" s="134">
        <f>CK182*$C$57</f>
        <v>0</v>
      </c>
      <c r="CM182" s="142">
        <f t="shared" si="313"/>
        <v>58596</v>
      </c>
      <c r="CN182" s="134">
        <f>CM182*$C$57</f>
        <v>0</v>
      </c>
      <c r="CO182" s="132">
        <f t="shared" si="314"/>
        <v>223412.14334402359</v>
      </c>
      <c r="CP182" s="140">
        <f t="shared" si="315"/>
        <v>0.42</v>
      </c>
      <c r="CQ182" s="121" t="str">
        <f>IF($C$50="NEIN","NEIN",IF(CS182&lt;CR182,"JA","NEIN"))</f>
        <v>NEIN</v>
      </c>
      <c r="CR182" s="121">
        <f>CO182*$C$46</f>
        <v>58924.952806986214</v>
      </c>
      <c r="CS182" s="121">
        <f t="shared" si="316"/>
        <v>84565.570204489908</v>
      </c>
      <c r="CT182" s="201">
        <f>IF($C$50="NEIN",CR182,IF(CQ182="NEIN",CR182,CS182))</f>
        <v>58924.952806986214</v>
      </c>
      <c r="CU182" s="149"/>
      <c r="CV182" s="202">
        <f t="shared" si="317"/>
        <v>9984</v>
      </c>
      <c r="CW182" s="134">
        <f>CV182*$C$57</f>
        <v>0</v>
      </c>
      <c r="CX182" s="142">
        <f t="shared" si="318"/>
        <v>14926</v>
      </c>
      <c r="CY182" s="134">
        <f>CX182*$C$57</f>
        <v>0</v>
      </c>
      <c r="CZ182" s="142">
        <f t="shared" si="319"/>
        <v>58596</v>
      </c>
      <c r="DA182" s="143">
        <f>CZ182*$C$57</f>
        <v>0</v>
      </c>
      <c r="DB182" s="165">
        <f t="shared" si="320"/>
        <v>223412.14334402359</v>
      </c>
      <c r="DC182" s="140">
        <f t="shared" si="321"/>
        <v>0.42</v>
      </c>
      <c r="DD182" s="121" t="str">
        <f>IF($C$50="NEIN","NEIN",IF(DF182&lt;DE182,"JA","NEIN"))</f>
        <v>NEIN</v>
      </c>
      <c r="DE182" s="121">
        <f>DB182*$C$46</f>
        <v>58924.952806986214</v>
      </c>
      <c r="DF182" s="121">
        <f t="shared" si="322"/>
        <v>84565.570204489908</v>
      </c>
      <c r="DG182" s="201">
        <f>IF($C$50="NEIN",DE182,IF(DD182="NEIN",DE182,DF182))</f>
        <v>58924.952806986214</v>
      </c>
      <c r="DH182" s="97"/>
      <c r="DI182" s="125"/>
      <c r="DN182" s="75"/>
    </row>
    <row r="183" spans="2:206" ht="15.75" x14ac:dyDescent="0.5">
      <c r="B183" s="333"/>
      <c r="C183" s="75"/>
      <c r="D183" s="75"/>
      <c r="F183" s="75"/>
      <c r="G183" s="75"/>
      <c r="H183" s="75"/>
      <c r="I183" s="75"/>
      <c r="J183" s="75"/>
      <c r="K183" s="75"/>
      <c r="L183" s="75"/>
      <c r="M183" s="75"/>
      <c r="O183" s="75"/>
      <c r="P183" s="75"/>
      <c r="Q183" s="75"/>
      <c r="R183" s="75"/>
      <c r="S183" s="290"/>
      <c r="T183" s="291"/>
      <c r="U183" s="291"/>
      <c r="V183" s="292"/>
      <c r="W183" s="292"/>
      <c r="AB183" s="117">
        <f t="shared" si="207"/>
        <v>131</v>
      </c>
      <c r="AC183" s="117">
        <f t="shared" si="208"/>
        <v>2124</v>
      </c>
      <c r="AD183" s="299">
        <f>IF($C$20="NEIN",$C$21,IF($C$22="JA",'HISTORISCHE RENDITEN'!E107,'HISTORISCHE RENDITEN'!D107))</f>
        <v>-2.46E-2</v>
      </c>
      <c r="AE183" s="129">
        <f t="shared" si="278"/>
        <v>131</v>
      </c>
      <c r="AF183" s="120">
        <f t="shared" si="280"/>
        <v>2124</v>
      </c>
      <c r="AG183" s="122">
        <f t="shared" si="281"/>
        <v>0</v>
      </c>
      <c r="AH183" s="124">
        <f t="shared" si="282"/>
        <v>430891.77838569693</v>
      </c>
      <c r="AI183" s="296">
        <f t="shared" si="283"/>
        <v>-13339581.812688606</v>
      </c>
      <c r="AJ183" s="123">
        <f t="shared" si="233"/>
        <v>0</v>
      </c>
      <c r="AK183" s="124">
        <f t="shared" si="284"/>
        <v>-13011428.100096466</v>
      </c>
      <c r="AL183" s="122">
        <f t="shared" si="285"/>
        <v>328153.71259213984</v>
      </c>
      <c r="AM183" s="122">
        <f>IF($C$25="Ausschütter",0,IF(AL183&gt;=0,(AI183+AJ183)*$C$48*0.7))</f>
        <v>-6536.3950882174167</v>
      </c>
      <c r="AN183" s="122">
        <f t="shared" si="323"/>
        <v>0</v>
      </c>
      <c r="AO183" s="122">
        <f t="shared" si="212"/>
        <v>-6536.3950882174167</v>
      </c>
      <c r="AP183" s="122">
        <f t="shared" si="286"/>
        <v>-8752.661692288586</v>
      </c>
      <c r="AQ183" s="122">
        <f>IF($C$25="AUSSCHÜTTER",0,IF(AO183*$C$46*$C$49&lt;=$C$47,0,AO183*$C$46*$C$49))</f>
        <v>0</v>
      </c>
      <c r="AR183" s="122">
        <f>IF(AO182*$C$49&gt;$C$47,(AN183)*$C$49*$C$46,IF((AO182+AN183)*$C$49&gt;$C$47,((AO182+AN183)*$C$49-$C$47)*$C$46,0))</f>
        <v>0</v>
      </c>
      <c r="AS183" s="122">
        <f t="shared" si="287"/>
        <v>0</v>
      </c>
      <c r="AT183" s="122">
        <f t="shared" si="288"/>
        <v>430891.77838569693</v>
      </c>
      <c r="AU183" s="122">
        <f t="shared" si="289"/>
        <v>0</v>
      </c>
      <c r="AV183" s="122">
        <f t="shared" si="290"/>
        <v>-13011428.100096466</v>
      </c>
      <c r="AW183" s="122">
        <f t="shared" si="335"/>
        <v>0</v>
      </c>
      <c r="AX183" s="130">
        <f t="shared" si="336"/>
        <v>0</v>
      </c>
      <c r="AY183" s="82">
        <f>IF(AF183&lt;$C$11,$C$15*(1+$C$19)^(AF183-$C$10),0)</f>
        <v>0</v>
      </c>
      <c r="AZ183" s="82">
        <f>$C$14*(1+$C$37)^(AF183-$C$10)</f>
        <v>228997.4469276242</v>
      </c>
      <c r="BA183" s="165">
        <f>IF(AF183&lt;$C$11,0,MAX($C$38*AI183,AZ183))</f>
        <v>228997.4469276242</v>
      </c>
      <c r="BB183" s="82">
        <f>IF(AF183&lt;$C$11,0,MAX($C$38*AI183,AZ183))</f>
        <v>228997.4469276242</v>
      </c>
      <c r="BC183" s="136">
        <f>IF($C$39="JA",CT183,DG183)</f>
        <v>60398.076627160881</v>
      </c>
      <c r="BD183" s="82">
        <f t="shared" si="324"/>
        <v>0</v>
      </c>
      <c r="BE183" s="82">
        <f>IF(AF183&lt;($C$8+$C$30),0,$C$29*12*(1-$C$31))</f>
        <v>0</v>
      </c>
      <c r="BF183" s="82">
        <f>IF(AF183&lt;($C$8+$C$34),0,$C$33*12*(1-$C$35))</f>
        <v>0</v>
      </c>
      <c r="BG183" s="82">
        <f>IF(AF183&lt;$C$11,0,IF(AI183&lt;0,$C$42*(1+$C$44)^(AF183-$C$10),IF(((AL183+BE183+BF183)*$C$41)&lt;$C$42*(1+$C$44)^(AF183-$C$10),$C$42*(1+$C$44)^(AF183-$C$10),IF(((AL183+BE183+BF183)*$C$41)&lt;$C$43*(1+$C$44)^(AF183-$C$10),(AL183+BE183+BF183)*$C$41,IF(((AL183+BE183+BF183+BB183)*$C$41)&lt;$C$43*(1+$C$44)^(AF183-$C$10),((AL183+BE183+BF183+BB183)*$C$41),$C$43*(1+$C$44)^(AF183-$C$10))))))</f>
        <v>11122.786302531085</v>
      </c>
      <c r="BH183" s="82">
        <f t="shared" si="238"/>
        <v>300518.3098573162</v>
      </c>
      <c r="BI183" s="242">
        <f t="shared" si="291"/>
        <v>-13011428.100096466</v>
      </c>
      <c r="BJ183" s="217">
        <f t="shared" si="292"/>
        <v>-13311946.409953782</v>
      </c>
      <c r="BK183" s="118"/>
      <c r="BL183" s="219">
        <f t="shared" si="293"/>
        <v>87</v>
      </c>
      <c r="BM183" s="220">
        <f t="shared" si="294"/>
        <v>104</v>
      </c>
      <c r="BN183" s="220">
        <f t="shared" si="295"/>
        <v>0</v>
      </c>
      <c r="BO183" s="221">
        <f t="shared" si="296"/>
        <v>0</v>
      </c>
      <c r="BP183" s="221">
        <f t="shared" si="297"/>
        <v>0</v>
      </c>
      <c r="BQ183" s="222">
        <f t="shared" si="298"/>
        <v>0</v>
      </c>
      <c r="BR183" s="223">
        <f>IF(BM183&lt;$C$11-$C$10+1,0,IF(BL183&lt;=$C$13,VLOOKUP(BL183,$BN$80:$BQ$156,2,FALSE)-BS183,0))</f>
        <v>0</v>
      </c>
      <c r="BS183" s="223">
        <f>IF(BM183&lt;$C$11-$C$10+1,0,IF(BL183&lt;=$C$13,VLOOKUP(BL183,$BN$80:$BQ$156,3,FALSE),0))</f>
        <v>0</v>
      </c>
      <c r="BT183" s="222">
        <f>IF(BM183&lt;$C$11-$C$10+1,0,IF(BL183&lt;=$C$13,VLOOKUP(BL183,$BN$80:$BQ$156,4,FALSE),0))</f>
        <v>0</v>
      </c>
      <c r="BU183" s="223">
        <f t="shared" si="299"/>
        <v>0</v>
      </c>
      <c r="BV183" s="223">
        <f t="shared" si="300"/>
        <v>0</v>
      </c>
      <c r="BW183" s="223">
        <f t="shared" si="301"/>
        <v>0</v>
      </c>
      <c r="BX183" s="223">
        <f>IF(AND(BS183&lt;=0,BN183=0),MIN((MAX($BZ$80:$BZ$156)-SUM($BX$80:BX182)),CA183),IF(BS183&lt;CA183,BS183,CA183))</f>
        <v>0</v>
      </c>
      <c r="BY183" s="222">
        <f>IF(BN183&gt;0,0,IF(AND(BN183=0,BT183&lt;=0),100%,((BW182*(AVERAGE($BT$80:BT182))+(BR183*BT183))/(BR183+BW182+BS183+BV182))))</f>
        <v>1</v>
      </c>
      <c r="BZ183" s="139">
        <f t="shared" si="302"/>
        <v>430891.77838569693</v>
      </c>
      <c r="CA183" s="122">
        <f t="shared" si="303"/>
        <v>228997.4469276242</v>
      </c>
      <c r="CB183" s="181">
        <f t="shared" si="304"/>
        <v>1</v>
      </c>
      <c r="CC183" s="122">
        <f t="shared" si="305"/>
        <v>8481137.8734552376</v>
      </c>
      <c r="CD183" s="182">
        <f t="shared" si="306"/>
        <v>0</v>
      </c>
      <c r="CE183" s="122">
        <f t="shared" si="307"/>
        <v>430891.77838569693</v>
      </c>
      <c r="CF183" s="122">
        <f t="shared" si="308"/>
        <v>0</v>
      </c>
      <c r="CG183" s="122" t="str">
        <f t="shared" si="309"/>
        <v/>
      </c>
      <c r="CH183" s="140">
        <f t="shared" si="310"/>
        <v>1</v>
      </c>
      <c r="CI183" s="142">
        <f t="shared" si="311"/>
        <v>9984</v>
      </c>
      <c r="CJ183" s="134">
        <f>CI183*$C$57</f>
        <v>0</v>
      </c>
      <c r="CK183" s="142">
        <f t="shared" si="312"/>
        <v>14926</v>
      </c>
      <c r="CL183" s="134">
        <f>CK183*$C$57</f>
        <v>0</v>
      </c>
      <c r="CM183" s="142">
        <f t="shared" si="313"/>
        <v>58596</v>
      </c>
      <c r="CN183" s="134">
        <f>CM183*$C$57</f>
        <v>0</v>
      </c>
      <c r="CO183" s="132">
        <f t="shared" si="314"/>
        <v>228997.4469276242</v>
      </c>
      <c r="CP183" s="140">
        <f t="shared" si="315"/>
        <v>0.42</v>
      </c>
      <c r="CQ183" s="121" t="str">
        <f>IF($C$50="NEIN","NEIN",IF(CS183&lt;CR183,"JA","NEIN"))</f>
        <v>NEIN</v>
      </c>
      <c r="CR183" s="121">
        <f>CO183*$C$46</f>
        <v>60398.076627160881</v>
      </c>
      <c r="CS183" s="121">
        <f t="shared" si="316"/>
        <v>86911.397709602155</v>
      </c>
      <c r="CT183" s="201">
        <f>IF($C$50="NEIN",CR183,IF(CQ183="NEIN",CR183,CS183))</f>
        <v>60398.076627160881</v>
      </c>
      <c r="CU183" s="149"/>
      <c r="CV183" s="202">
        <f t="shared" si="317"/>
        <v>9984</v>
      </c>
      <c r="CW183" s="134">
        <f>CV183*$C$57</f>
        <v>0</v>
      </c>
      <c r="CX183" s="142">
        <f t="shared" si="318"/>
        <v>14926</v>
      </c>
      <c r="CY183" s="134">
        <f>CX183*$C$57</f>
        <v>0</v>
      </c>
      <c r="CZ183" s="142">
        <f t="shared" si="319"/>
        <v>58596</v>
      </c>
      <c r="DA183" s="143">
        <f>CZ183*$C$57</f>
        <v>0</v>
      </c>
      <c r="DB183" s="165">
        <f t="shared" si="320"/>
        <v>228997.4469276242</v>
      </c>
      <c r="DC183" s="140">
        <f t="shared" si="321"/>
        <v>0.42</v>
      </c>
      <c r="DD183" s="121" t="str">
        <f>IF($C$50="NEIN","NEIN",IF(DF183&lt;DE183,"JA","NEIN"))</f>
        <v>NEIN</v>
      </c>
      <c r="DE183" s="121">
        <f>DB183*$C$46</f>
        <v>60398.076627160881</v>
      </c>
      <c r="DF183" s="121">
        <f t="shared" si="322"/>
        <v>86911.397709602155</v>
      </c>
      <c r="DG183" s="201">
        <f>IF($C$50="NEIN",DE183,IF(DD183="NEIN",DE183,DF183))</f>
        <v>60398.076627160881</v>
      </c>
      <c r="DH183" s="97"/>
      <c r="DI183" s="125"/>
      <c r="DN183" s="75"/>
    </row>
    <row r="184" spans="2:206" ht="15.75" x14ac:dyDescent="0.5">
      <c r="B184" s="333"/>
      <c r="C184" s="75"/>
      <c r="D184" s="75"/>
      <c r="F184" s="75"/>
      <c r="G184" s="75"/>
      <c r="H184" s="75"/>
      <c r="I184" s="75"/>
      <c r="J184" s="75"/>
      <c r="K184" s="75"/>
      <c r="L184" s="75"/>
      <c r="M184" s="75"/>
      <c r="O184" s="75"/>
      <c r="P184" s="75"/>
      <c r="Q184" s="75"/>
      <c r="R184" s="75"/>
      <c r="S184" s="290"/>
      <c r="T184" s="291"/>
      <c r="U184" s="291"/>
      <c r="V184" s="292"/>
      <c r="W184" s="292"/>
      <c r="AB184" s="117">
        <f t="shared" si="207"/>
        <v>132</v>
      </c>
      <c r="AC184" s="117">
        <f t="shared" si="208"/>
        <v>2125</v>
      </c>
      <c r="AD184" s="299">
        <f>IF($C$20="NEIN",$C$21,IF($C$22="JA",'HISTORISCHE RENDITEN'!E108,'HISTORISCHE RENDITEN'!D108))</f>
        <v>0.1268</v>
      </c>
      <c r="AE184" s="129">
        <f t="shared" si="278"/>
        <v>132</v>
      </c>
      <c r="AF184" s="120">
        <f t="shared" si="280"/>
        <v>2125</v>
      </c>
      <c r="AG184" s="122">
        <f t="shared" si="281"/>
        <v>0</v>
      </c>
      <c r="AH184" s="124">
        <f t="shared" si="282"/>
        <v>430891.77838569693</v>
      </c>
      <c r="AI184" s="296">
        <f t="shared" si="283"/>
        <v>-13311946.409953782</v>
      </c>
      <c r="AJ184" s="123">
        <f t="shared" si="233"/>
        <v>0</v>
      </c>
      <c r="AK184" s="124">
        <f t="shared" si="284"/>
        <v>-14999901.214735921</v>
      </c>
      <c r="AL184" s="122">
        <f t="shared" si="285"/>
        <v>-1687954.8047821391</v>
      </c>
      <c r="AM184" s="122" t="b">
        <f>IF($C$25="Ausschütter",0,IF(AL184&gt;=0,(AI184+AJ184)*$C$48*0.7))</f>
        <v>0</v>
      </c>
      <c r="AN184" s="122">
        <f t="shared" si="323"/>
        <v>0</v>
      </c>
      <c r="AO184" s="122">
        <f t="shared" si="212"/>
        <v>0</v>
      </c>
      <c r="AP184" s="122">
        <f t="shared" si="286"/>
        <v>-8752.661692288586</v>
      </c>
      <c r="AQ184" s="122">
        <f>IF($C$25="AUSSCHÜTTER",0,IF(AO184*$C$46*$C$49&lt;=$C$47,0,AO184*$C$46*$C$49))</f>
        <v>0</v>
      </c>
      <c r="AR184" s="122">
        <f>IF(AO183*$C$49&gt;$C$47,(AN184)*$C$49*$C$46,IF((AO183+AN184)*$C$49&gt;$C$47,((AO183+AN184)*$C$49-$C$47)*$C$46,0))</f>
        <v>0</v>
      </c>
      <c r="AS184" s="122">
        <f t="shared" si="287"/>
        <v>0</v>
      </c>
      <c r="AT184" s="122">
        <f t="shared" si="288"/>
        <v>430891.77838569693</v>
      </c>
      <c r="AU184" s="122">
        <f t="shared" si="289"/>
        <v>0</v>
      </c>
      <c r="AV184" s="122">
        <f t="shared" si="290"/>
        <v>-14999901.214735921</v>
      </c>
      <c r="AW184" s="122">
        <f t="shared" si="335"/>
        <v>0</v>
      </c>
      <c r="AX184" s="130">
        <f t="shared" si="336"/>
        <v>0</v>
      </c>
      <c r="AY184" s="82">
        <f>IF(AF184&lt;$C$11,$C$15*(1+$C$19)^(AF184-$C$10),0)</f>
        <v>0</v>
      </c>
      <c r="AZ184" s="82">
        <f>$C$14*(1+$C$37)^(AF184-$C$10)</f>
        <v>234722.38310081477</v>
      </c>
      <c r="BA184" s="165">
        <f>IF(AF184&lt;$C$11,0,MAX($C$38*AI184,AZ184))</f>
        <v>234722.38310081477</v>
      </c>
      <c r="BB184" s="82">
        <f>IF(AF184&lt;$C$11,0,MAX($C$38*AI184,AZ184))</f>
        <v>234722.38310081477</v>
      </c>
      <c r="BC184" s="136">
        <f>IF($C$39="JA",CT184,DG184)</f>
        <v>61908.028542839893</v>
      </c>
      <c r="BD184" s="82">
        <f t="shared" si="324"/>
        <v>0</v>
      </c>
      <c r="BE184" s="82">
        <f>IF(AF184&lt;($C$8+$C$30),0,$C$29*12*(1-$C$31))</f>
        <v>0</v>
      </c>
      <c r="BF184" s="82">
        <f>IF(AF184&lt;($C$8+$C$34),0,$C$33*12*(1-$C$35))</f>
        <v>0</v>
      </c>
      <c r="BG184" s="82">
        <f>IF(AF184&lt;$C$11,0,IF(AI184&lt;0,$C$42*(1+$C$44)^(AF184-$C$10),IF(((AL184+BE184+BF184)*$C$41)&lt;$C$42*(1+$C$44)^(AF184-$C$10),$C$42*(1+$C$44)^(AF184-$C$10),IF(((AL184+BE184+BF184)*$C$41)&lt;$C$43*(1+$C$44)^(AF184-$C$10),(AL184+BE184+BF184)*$C$41,IF(((AL184+BE184+BF184+BB184)*$C$41)&lt;$C$43*(1+$C$44)^(AF184-$C$10),((AL184+BE184+BF184+BB184)*$C$41),$C$43*(1+$C$44)^(AF184-$C$10))))))</f>
        <v>11289.628097069051</v>
      </c>
      <c r="BH184" s="82">
        <f t="shared" si="238"/>
        <v>307920.03974072373</v>
      </c>
      <c r="BI184" s="242">
        <f t="shared" si="291"/>
        <v>-14999901.214735921</v>
      </c>
      <c r="BJ184" s="217">
        <f t="shared" si="292"/>
        <v>-15307821.254476646</v>
      </c>
      <c r="BK184" s="118"/>
      <c r="BL184" s="219">
        <f t="shared" si="293"/>
        <v>88</v>
      </c>
      <c r="BM184" s="220">
        <f t="shared" si="294"/>
        <v>105</v>
      </c>
      <c r="BN184" s="220">
        <f t="shared" si="295"/>
        <v>0</v>
      </c>
      <c r="BO184" s="221">
        <f t="shared" si="296"/>
        <v>0</v>
      </c>
      <c r="BP184" s="221">
        <f t="shared" si="297"/>
        <v>0</v>
      </c>
      <c r="BQ184" s="222">
        <f t="shared" si="298"/>
        <v>0</v>
      </c>
      <c r="BR184" s="223">
        <f>IF(BM184&lt;$C$11-$C$10+1,0,IF(BL184&lt;=$C$13,VLOOKUP(BL184,$BN$80:$BQ$156,2,FALSE)-BS184,0))</f>
        <v>0</v>
      </c>
      <c r="BS184" s="223">
        <f>IF(BM184&lt;$C$11-$C$10+1,0,IF(BL184&lt;=$C$13,VLOOKUP(BL184,$BN$80:$BQ$156,3,FALSE),0))</f>
        <v>0</v>
      </c>
      <c r="BT184" s="222">
        <f>IF(BM184&lt;$C$11-$C$10+1,0,IF(BL184&lt;=$C$13,VLOOKUP(BL184,$BN$80:$BQ$156,4,FALSE),0))</f>
        <v>0</v>
      </c>
      <c r="BU184" s="223">
        <f t="shared" si="299"/>
        <v>0</v>
      </c>
      <c r="BV184" s="223">
        <f t="shared" si="300"/>
        <v>0</v>
      </c>
      <c r="BW184" s="223">
        <f t="shared" si="301"/>
        <v>0</v>
      </c>
      <c r="BX184" s="223">
        <f>IF(AND(BS184&lt;=0,BN184=0),MIN((MAX($BZ$80:$BZ$156)-SUM($BX$80:BX183)),CA184),IF(BS184&lt;CA184,BS184,CA184))</f>
        <v>0</v>
      </c>
      <c r="BY184" s="222">
        <f>IF(BN184&gt;0,0,IF(AND(BN184=0,BT184&lt;=0),100%,((BW183*(AVERAGE($BT$80:BT183))+(BR184*BT184))/(BR184+BW183+BS184+BV183))))</f>
        <v>1</v>
      </c>
      <c r="BZ184" s="139">
        <f t="shared" si="302"/>
        <v>430891.77838569693</v>
      </c>
      <c r="CA184" s="122">
        <f t="shared" si="303"/>
        <v>234722.38310081477</v>
      </c>
      <c r="CB184" s="181">
        <f t="shared" si="304"/>
        <v>1</v>
      </c>
      <c r="CC184" s="122">
        <f t="shared" si="305"/>
        <v>8715860.2565560527</v>
      </c>
      <c r="CD184" s="182">
        <f t="shared" si="306"/>
        <v>0</v>
      </c>
      <c r="CE184" s="122">
        <f t="shared" si="307"/>
        <v>430891.77838569693</v>
      </c>
      <c r="CF184" s="122">
        <f t="shared" si="308"/>
        <v>0</v>
      </c>
      <c r="CG184" s="122" t="str">
        <f t="shared" si="309"/>
        <v/>
      </c>
      <c r="CH184" s="140">
        <f t="shared" si="310"/>
        <v>1</v>
      </c>
      <c r="CI184" s="142">
        <f t="shared" si="311"/>
        <v>9984</v>
      </c>
      <c r="CJ184" s="134">
        <f>CI184*$C$57</f>
        <v>0</v>
      </c>
      <c r="CK184" s="142">
        <f t="shared" si="312"/>
        <v>14926</v>
      </c>
      <c r="CL184" s="134">
        <f>CK184*$C$57</f>
        <v>0</v>
      </c>
      <c r="CM184" s="142">
        <f t="shared" si="313"/>
        <v>58596</v>
      </c>
      <c r="CN184" s="134">
        <f>CM184*$C$57</f>
        <v>0</v>
      </c>
      <c r="CO184" s="132">
        <f t="shared" si="314"/>
        <v>234722.38310081477</v>
      </c>
      <c r="CP184" s="140">
        <f t="shared" si="315"/>
        <v>0.42</v>
      </c>
      <c r="CQ184" s="121" t="str">
        <f>IF($C$50="NEIN","NEIN",IF(CS184&lt;CR184,"JA","NEIN"))</f>
        <v>NEIN</v>
      </c>
      <c r="CR184" s="121">
        <f>CO184*$C$46</f>
        <v>61908.028542839893</v>
      </c>
      <c r="CS184" s="121">
        <f t="shared" si="316"/>
        <v>89315.870902342198</v>
      </c>
      <c r="CT184" s="201">
        <f>IF($C$50="NEIN",CR184,IF(CQ184="NEIN",CR184,CS184))</f>
        <v>61908.028542839893</v>
      </c>
      <c r="CU184" s="149"/>
      <c r="CV184" s="202">
        <f t="shared" si="317"/>
        <v>9984</v>
      </c>
      <c r="CW184" s="134">
        <f>CV184*$C$57</f>
        <v>0</v>
      </c>
      <c r="CX184" s="142">
        <f t="shared" si="318"/>
        <v>14926</v>
      </c>
      <c r="CY184" s="134">
        <f>CX184*$C$57</f>
        <v>0</v>
      </c>
      <c r="CZ184" s="142">
        <f t="shared" si="319"/>
        <v>58596</v>
      </c>
      <c r="DA184" s="143">
        <f>CZ184*$C$57</f>
        <v>0</v>
      </c>
      <c r="DB184" s="165">
        <f t="shared" si="320"/>
        <v>234722.38310081477</v>
      </c>
      <c r="DC184" s="140">
        <f t="shared" si="321"/>
        <v>0.42</v>
      </c>
      <c r="DD184" s="121" t="str">
        <f>IF($C$50="NEIN","NEIN",IF(DF184&lt;DE184,"JA","NEIN"))</f>
        <v>NEIN</v>
      </c>
      <c r="DE184" s="121">
        <f>DB184*$C$46</f>
        <v>61908.028542839893</v>
      </c>
      <c r="DF184" s="121">
        <f t="shared" si="322"/>
        <v>89315.870902342198</v>
      </c>
      <c r="DG184" s="201">
        <f>IF($C$50="NEIN",DE184,IF(DD184="NEIN",DE184,DF184))</f>
        <v>61908.028542839893</v>
      </c>
      <c r="DH184" s="97"/>
      <c r="DI184" s="125"/>
      <c r="DN184" s="75"/>
    </row>
    <row r="185" spans="2:206" ht="15.75" x14ac:dyDescent="0.5">
      <c r="B185" s="333"/>
      <c r="C185" s="75"/>
      <c r="D185" s="75"/>
      <c r="F185" s="75"/>
      <c r="G185" s="75"/>
      <c r="H185" s="75"/>
      <c r="I185" s="75"/>
      <c r="J185" s="75"/>
      <c r="K185" s="75"/>
      <c r="L185" s="75"/>
      <c r="M185" s="75"/>
      <c r="O185" s="75"/>
      <c r="P185" s="75"/>
      <c r="Q185" s="75"/>
      <c r="R185" s="75"/>
      <c r="S185" s="290"/>
      <c r="T185" s="291"/>
      <c r="U185" s="291"/>
      <c r="V185" s="292"/>
      <c r="W185" s="292"/>
      <c r="AB185" s="117">
        <f t="shared" si="207"/>
        <v>133</v>
      </c>
      <c r="AC185" s="117">
        <f t="shared" si="208"/>
        <v>2126</v>
      </c>
      <c r="AD185" s="299">
        <f>IF($C$20="NEIN",$C$21,IF($C$22="JA",'HISTORISCHE RENDITEN'!E109,'HISTORISCHE RENDITEN'!D109))</f>
        <v>7.2099999999999997E-2</v>
      </c>
      <c r="AE185" s="129">
        <f t="shared" si="278"/>
        <v>133</v>
      </c>
      <c r="AF185" s="120">
        <f t="shared" si="280"/>
        <v>2126</v>
      </c>
      <c r="AG185" s="122">
        <f t="shared" si="281"/>
        <v>0</v>
      </c>
      <c r="AH185" s="124">
        <f t="shared" si="282"/>
        <v>430891.77838569693</v>
      </c>
      <c r="AI185" s="296">
        <f t="shared" si="283"/>
        <v>-15307821.254476646</v>
      </c>
      <c r="AJ185" s="123">
        <f t="shared" si="233"/>
        <v>0</v>
      </c>
      <c r="AK185" s="124">
        <f t="shared" si="284"/>
        <v>-16411515.166924413</v>
      </c>
      <c r="AL185" s="122">
        <f t="shared" si="285"/>
        <v>-1103693.9124477673</v>
      </c>
      <c r="AM185" s="122" t="b">
        <f>IF($C$25="Ausschütter",0,IF(AL185&gt;=0,(AI185+AJ185)*$C$48*0.7))</f>
        <v>0</v>
      </c>
      <c r="AN185" s="122">
        <f t="shared" si="323"/>
        <v>0</v>
      </c>
      <c r="AO185" s="122">
        <f t="shared" si="212"/>
        <v>0</v>
      </c>
      <c r="AP185" s="122">
        <f t="shared" si="286"/>
        <v>-8752.661692288586</v>
      </c>
      <c r="AQ185" s="122">
        <f>IF($C$25="AUSSCHÜTTER",0,IF(AO185*$C$46*$C$49&lt;=$C$47,0,AO185*$C$46*$C$49))</f>
        <v>0</v>
      </c>
      <c r="AR185" s="122">
        <f>IF(AO184*$C$49&gt;$C$47,(AN185)*$C$49*$C$46,IF((AO184+AN185)*$C$49&gt;$C$47,((AO184+AN185)*$C$49-$C$47)*$C$46,0))</f>
        <v>0</v>
      </c>
      <c r="AS185" s="122">
        <f t="shared" si="287"/>
        <v>0</v>
      </c>
      <c r="AT185" s="122">
        <f t="shared" si="288"/>
        <v>430891.77838569693</v>
      </c>
      <c r="AU185" s="122">
        <f t="shared" si="289"/>
        <v>0</v>
      </c>
      <c r="AV185" s="122">
        <f t="shared" si="290"/>
        <v>-16411515.166924413</v>
      </c>
      <c r="AW185" s="122">
        <f t="shared" si="335"/>
        <v>0</v>
      </c>
      <c r="AX185" s="130">
        <f t="shared" si="336"/>
        <v>0</v>
      </c>
      <c r="AY185" s="82">
        <f>IF(AF185&lt;$C$11,$C$15*(1+$C$19)^(AF185-$C$10),0)</f>
        <v>0</v>
      </c>
      <c r="AZ185" s="82">
        <f>$C$14*(1+$C$37)^(AF185-$C$10)</f>
        <v>240590.44267833515</v>
      </c>
      <c r="BA185" s="165">
        <f>IF(AF185&lt;$C$11,0,MAX($C$38*AI185,AZ185))</f>
        <v>240590.44267833515</v>
      </c>
      <c r="BB185" s="82">
        <f>IF(AF185&lt;$C$11,0,MAX($C$38*AI185,AZ185))</f>
        <v>240590.44267833515</v>
      </c>
      <c r="BC185" s="136">
        <f>IF($C$39="JA",CT185,DG185)</f>
        <v>63455.729256410894</v>
      </c>
      <c r="BD185" s="82">
        <f t="shared" si="324"/>
        <v>0</v>
      </c>
      <c r="BE185" s="82">
        <f>IF(AF185&lt;($C$8+$C$30),0,$C$29*12*(1-$C$31))</f>
        <v>0</v>
      </c>
      <c r="BF185" s="82">
        <f>IF(AF185&lt;($C$8+$C$34),0,$C$33*12*(1-$C$35))</f>
        <v>0</v>
      </c>
      <c r="BG185" s="82">
        <f>IF(AF185&lt;$C$11,0,IF(AI185&lt;0,$C$42*(1+$C$44)^(AF185-$C$10),IF(((AL185+BE185+BF185)*$C$41)&lt;$C$42*(1+$C$44)^(AF185-$C$10),$C$42*(1+$C$44)^(AF185-$C$10),IF(((AL185+BE185+BF185)*$C$41)&lt;$C$43*(1+$C$44)^(AF185-$C$10),(AL185+BE185+BF185)*$C$41,IF(((AL185+BE185+BF185+BB185)*$C$41)&lt;$C$43*(1+$C$44)^(AF185-$C$10),((AL185+BE185+BF185+BB185)*$C$41),$C$43*(1+$C$44)^(AF185-$C$10))))))</f>
        <v>11458.972518525085</v>
      </c>
      <c r="BH185" s="82">
        <f t="shared" si="238"/>
        <v>315505.14445327112</v>
      </c>
      <c r="BI185" s="242">
        <f t="shared" si="291"/>
        <v>-16411515.166924413</v>
      </c>
      <c r="BJ185" s="217">
        <f t="shared" si="292"/>
        <v>-16727020.311377684</v>
      </c>
      <c r="BK185" s="118"/>
      <c r="BL185" s="219">
        <f t="shared" si="293"/>
        <v>89</v>
      </c>
      <c r="BM185" s="220">
        <f t="shared" si="294"/>
        <v>106</v>
      </c>
      <c r="BN185" s="220">
        <f t="shared" si="295"/>
        <v>0</v>
      </c>
      <c r="BO185" s="221">
        <f t="shared" si="296"/>
        <v>0</v>
      </c>
      <c r="BP185" s="221">
        <f t="shared" si="297"/>
        <v>0</v>
      </c>
      <c r="BQ185" s="222">
        <f t="shared" si="298"/>
        <v>0</v>
      </c>
      <c r="BR185" s="223">
        <f>IF(BM185&lt;$C$11-$C$10+1,0,IF(BL185&lt;=$C$13,VLOOKUP(BL185,$BN$80:$BQ$156,2,FALSE)-BS185,0))</f>
        <v>0</v>
      </c>
      <c r="BS185" s="223">
        <f>IF(BM185&lt;$C$11-$C$10+1,0,IF(BL185&lt;=$C$13,VLOOKUP(BL185,$BN$80:$BQ$156,3,FALSE),0))</f>
        <v>0</v>
      </c>
      <c r="BT185" s="222">
        <f>IF(BM185&lt;$C$11-$C$10+1,0,IF(BL185&lt;=$C$13,VLOOKUP(BL185,$BN$80:$BQ$156,4,FALSE),0))</f>
        <v>0</v>
      </c>
      <c r="BU185" s="223">
        <f t="shared" si="299"/>
        <v>0</v>
      </c>
      <c r="BV185" s="223">
        <f t="shared" si="300"/>
        <v>0</v>
      </c>
      <c r="BW185" s="223">
        <f t="shared" si="301"/>
        <v>0</v>
      </c>
      <c r="BX185" s="223">
        <f>IF(AND(BS185&lt;=0,BN185=0),MIN((MAX($BZ$80:$BZ$156)-SUM($BX$80:BX184)),CA185),IF(BS185&lt;CA185,BS185,CA185))</f>
        <v>0</v>
      </c>
      <c r="BY185" s="222">
        <f>IF(BN185&gt;0,0,IF(AND(BN185=0,BT185&lt;=0),100%,((BW184*(AVERAGE($BT$80:BT184))+(BR185*BT185))/(BR185+BW184+BS185+BV184))))</f>
        <v>1</v>
      </c>
      <c r="BZ185" s="139">
        <f t="shared" si="302"/>
        <v>430891.77838569693</v>
      </c>
      <c r="CA185" s="122">
        <f t="shared" si="303"/>
        <v>240590.44267833515</v>
      </c>
      <c r="CB185" s="181">
        <f t="shared" si="304"/>
        <v>1</v>
      </c>
      <c r="CC185" s="122">
        <f t="shared" si="305"/>
        <v>8956450.6992343888</v>
      </c>
      <c r="CD185" s="182">
        <f t="shared" si="306"/>
        <v>0</v>
      </c>
      <c r="CE185" s="122">
        <f t="shared" si="307"/>
        <v>430891.77838569693</v>
      </c>
      <c r="CF185" s="122">
        <f t="shared" si="308"/>
        <v>0</v>
      </c>
      <c r="CG185" s="122" t="str">
        <f t="shared" si="309"/>
        <v/>
      </c>
      <c r="CH185" s="140">
        <f t="shared" si="310"/>
        <v>1</v>
      </c>
      <c r="CI185" s="142">
        <f t="shared" si="311"/>
        <v>9984</v>
      </c>
      <c r="CJ185" s="134">
        <f>CI185*$C$57</f>
        <v>0</v>
      </c>
      <c r="CK185" s="142">
        <f t="shared" si="312"/>
        <v>14926</v>
      </c>
      <c r="CL185" s="134">
        <f>CK185*$C$57</f>
        <v>0</v>
      </c>
      <c r="CM185" s="142">
        <f t="shared" si="313"/>
        <v>58596</v>
      </c>
      <c r="CN185" s="134">
        <f>CM185*$C$57</f>
        <v>0</v>
      </c>
      <c r="CO185" s="132">
        <f t="shared" si="314"/>
        <v>240590.44267833515</v>
      </c>
      <c r="CP185" s="140">
        <f t="shared" si="315"/>
        <v>0.42</v>
      </c>
      <c r="CQ185" s="121" t="str">
        <f>IF($C$50="NEIN","NEIN",IF(CS185&lt;CR185,"JA","NEIN"))</f>
        <v>NEIN</v>
      </c>
      <c r="CR185" s="121">
        <f>CO185*$C$46</f>
        <v>63455.729256410894</v>
      </c>
      <c r="CS185" s="121">
        <f t="shared" si="316"/>
        <v>91780.455924900758</v>
      </c>
      <c r="CT185" s="201">
        <f>IF($C$50="NEIN",CR185,IF(CQ185="NEIN",CR185,CS185))</f>
        <v>63455.729256410894</v>
      </c>
      <c r="CU185" s="149"/>
      <c r="CV185" s="202">
        <f t="shared" si="317"/>
        <v>9984</v>
      </c>
      <c r="CW185" s="134">
        <f>CV185*$C$57</f>
        <v>0</v>
      </c>
      <c r="CX185" s="142">
        <f t="shared" si="318"/>
        <v>14926</v>
      </c>
      <c r="CY185" s="134">
        <f>CX185*$C$57</f>
        <v>0</v>
      </c>
      <c r="CZ185" s="142">
        <f t="shared" si="319"/>
        <v>58596</v>
      </c>
      <c r="DA185" s="143">
        <f>CZ185*$C$57</f>
        <v>0</v>
      </c>
      <c r="DB185" s="165">
        <f t="shared" si="320"/>
        <v>240590.44267833515</v>
      </c>
      <c r="DC185" s="140">
        <f t="shared" si="321"/>
        <v>0.42</v>
      </c>
      <c r="DD185" s="121" t="str">
        <f>IF($C$50="NEIN","NEIN",IF(DF185&lt;DE185,"JA","NEIN"))</f>
        <v>NEIN</v>
      </c>
      <c r="DE185" s="121">
        <f>DB185*$C$46</f>
        <v>63455.729256410894</v>
      </c>
      <c r="DF185" s="121">
        <f t="shared" si="322"/>
        <v>91780.455924900758</v>
      </c>
      <c r="DG185" s="201">
        <f>IF($C$50="NEIN",DE185,IF(DD185="NEIN",DE185,DF185))</f>
        <v>63455.729256410894</v>
      </c>
      <c r="DH185" s="97"/>
      <c r="DI185" s="125"/>
      <c r="DN185" s="75"/>
    </row>
    <row r="186" spans="2:206" ht="15.75" x14ac:dyDescent="0.5">
      <c r="B186" s="333"/>
      <c r="C186" s="75"/>
      <c r="D186" s="75"/>
      <c r="F186" s="75"/>
      <c r="G186" s="75"/>
      <c r="H186" s="75"/>
      <c r="I186" s="75"/>
      <c r="J186" s="75"/>
      <c r="K186" s="75"/>
      <c r="L186" s="75"/>
      <c r="M186" s="75"/>
      <c r="O186" s="75"/>
      <c r="P186" s="75"/>
      <c r="Q186" s="75"/>
      <c r="R186" s="75"/>
      <c r="S186" s="290"/>
      <c r="T186" s="291"/>
      <c r="U186" s="291"/>
      <c r="V186" s="292"/>
      <c r="W186" s="292"/>
      <c r="AB186" s="117">
        <f t="shared" si="207"/>
        <v>134</v>
      </c>
      <c r="AC186" s="117">
        <f t="shared" si="208"/>
        <v>2127</v>
      </c>
      <c r="AD186" s="299">
        <f>IF($C$20="NEIN",$C$21,IF($C$22="JA",'HISTORISCHE RENDITEN'!E110,'HISTORISCHE RENDITEN'!D110))</f>
        <v>0.21460000000000001</v>
      </c>
      <c r="AE186" s="129">
        <f t="shared" si="278"/>
        <v>134</v>
      </c>
      <c r="AF186" s="120">
        <f t="shared" ref="AF186:AF199" si="340">AF185+1</f>
        <v>2127</v>
      </c>
      <c r="AG186" s="122">
        <f t="shared" ref="AG186:AG199" si="341">IF(AF186&lt;$C$11,AY186-AZ186,0)</f>
        <v>0</v>
      </c>
      <c r="AH186" s="124">
        <f t="shared" ref="AH186:AH199" si="342">AH185+AJ186</f>
        <v>430891.77838569693</v>
      </c>
      <c r="AI186" s="296">
        <f t="shared" ref="AI186:AI199" si="343">BJ185</f>
        <v>-16727020.311377684</v>
      </c>
      <c r="AJ186" s="123">
        <f t="shared" si="233"/>
        <v>0</v>
      </c>
      <c r="AK186" s="124">
        <f t="shared" ref="AK186:AK199" si="344">(AI186+AJ186)*(1+AD186)</f>
        <v>-20316638.870199334</v>
      </c>
      <c r="AL186" s="122">
        <f t="shared" ref="AL186:AL199" si="345">AK186-(AJ186+AI186)</f>
        <v>-3589618.5588216502</v>
      </c>
      <c r="AM186" s="122" t="b">
        <f>IF($C$25="Ausschütter",0,IF(AL186&gt;=0,(AI186+AJ186)*$C$48*0.7))</f>
        <v>0</v>
      </c>
      <c r="AN186" s="122">
        <f t="shared" si="323"/>
        <v>0</v>
      </c>
      <c r="AO186" s="122">
        <f t="shared" si="212"/>
        <v>0</v>
      </c>
      <c r="AP186" s="122">
        <f t="shared" ref="AP186:AP199" si="346">AP185+AO186</f>
        <v>-8752.661692288586</v>
      </c>
      <c r="AQ186" s="122">
        <f>IF($C$25="AUSSCHÜTTER",0,IF(AO186*$C$46*$C$49&lt;=$C$47,0,AO186*$C$46*$C$49))</f>
        <v>0</v>
      </c>
      <c r="AR186" s="122">
        <f>IF(AO185*$C$49&gt;$C$47,(AN186)*$C$49*$C$46,IF((AO185+AN186)*$C$49&gt;$C$47,((AO185+AN186)*$C$49-$C$47)*$C$46,0))</f>
        <v>0</v>
      </c>
      <c r="AS186" s="122">
        <f t="shared" ref="AS186:AS199" si="347">AN186-AR186-AQ186</f>
        <v>0</v>
      </c>
      <c r="AT186" s="122">
        <f t="shared" ref="AT186:AT199" si="348">IF(AG186=0,AT185,IF(AF186&lt;=$C$13+$C$10,ABS(AG186)+AT185,AT185))</f>
        <v>430891.77838569693</v>
      </c>
      <c r="AU186" s="122">
        <f t="shared" ref="AU186:AU199" si="349">SUM(AR186+AQ186)+AU185</f>
        <v>0</v>
      </c>
      <c r="AV186" s="122">
        <f t="shared" ref="AV186:AV199" si="350">AK186</f>
        <v>-20316638.870199334</v>
      </c>
      <c r="AW186" s="122">
        <f t="shared" si="335"/>
        <v>0</v>
      </c>
      <c r="AX186" s="130">
        <f t="shared" si="336"/>
        <v>0</v>
      </c>
      <c r="AY186" s="82">
        <f>IF(AF186&lt;$C$11,$C$15*(1+$C$19)^(AF186-$C$10),0)</f>
        <v>0</v>
      </c>
      <c r="AZ186" s="82">
        <f>$C$14*(1+$C$37)^(AF186-$C$10)</f>
        <v>246605.20374529352</v>
      </c>
      <c r="BA186" s="165">
        <f>IF(AF186&lt;$C$11,0,MAX($C$38*AI186,AZ186))</f>
        <v>246605.20374529352</v>
      </c>
      <c r="BB186" s="82">
        <f>IF(AF186&lt;$C$11,0,MAX($C$38*AI186,AZ186))</f>
        <v>246605.20374529352</v>
      </c>
      <c r="BC186" s="136">
        <f>IF($C$39="JA",CT186,DG186)</f>
        <v>65042.122487821165</v>
      </c>
      <c r="BD186" s="82">
        <f t="shared" si="324"/>
        <v>0</v>
      </c>
      <c r="BE186" s="82">
        <f>IF(AF186&lt;($C$8+$C$30),0,$C$29*12*(1-$C$31))</f>
        <v>0</v>
      </c>
      <c r="BF186" s="82">
        <f>IF(AF186&lt;($C$8+$C$34),0,$C$33*12*(1-$C$35))</f>
        <v>0</v>
      </c>
      <c r="BG186" s="82">
        <f>IF(AF186&lt;$C$11,0,IF(AI186&lt;0,$C$42*(1+$C$44)^(AF186-$C$10),IF(((AL186+BE186+BF186)*$C$41)&lt;$C$42*(1+$C$44)^(AF186-$C$10),$C$42*(1+$C$44)^(AF186-$C$10),IF(((AL186+BE186+BF186)*$C$41)&lt;$C$43*(1+$C$44)^(AF186-$C$10),(AL186+BE186+BF186)*$C$41,IF(((AL186+BE186+BF186+BB186)*$C$41)&lt;$C$43*(1+$C$44)^(AF186-$C$10),((AL186+BE186+BF186+BB186)*$C$41),$C$43*(1+$C$44)^(AF186-$C$10))))))</f>
        <v>11630.857106302959</v>
      </c>
      <c r="BH186" s="82">
        <f t="shared" si="238"/>
        <v>323278.18333941768</v>
      </c>
      <c r="BI186" s="242">
        <f t="shared" ref="BI186:BI199" si="351">AI186+AY186+BE186+BF186+AL186</f>
        <v>-20316638.870199334</v>
      </c>
      <c r="BJ186" s="217">
        <f t="shared" ref="BJ186:BJ199" si="352">BI186-BH186</f>
        <v>-20639917.053538751</v>
      </c>
      <c r="BK186" s="118"/>
      <c r="BL186" s="219">
        <f t="shared" ref="BL186:BL199" si="353">IF(AF186&lt;$C$11,0,AF186-$C$11+1)</f>
        <v>90</v>
      </c>
      <c r="BM186" s="220">
        <f t="shared" ref="BM186:BM199" si="354">AE186-$C$9+1</f>
        <v>107</v>
      </c>
      <c r="BN186" s="220">
        <f t="shared" ref="BN186:BN199" si="355">IF(AF186&lt;$C$11,($C$10+77)-AF186,0)</f>
        <v>0</v>
      </c>
      <c r="BO186" s="221">
        <f t="shared" ref="BO186:BO199" si="356">AG186*(1+AVERAGE($AD$80:$AD$156))^(BN186)</f>
        <v>0</v>
      </c>
      <c r="BP186" s="221">
        <f t="shared" ref="BP186:BP199" si="357">AG186</f>
        <v>0</v>
      </c>
      <c r="BQ186" s="222">
        <f t="shared" ref="BQ186:BQ199" si="358">IF(BP186&lt;=0,0,BO186/BP186-1)</f>
        <v>0</v>
      </c>
      <c r="BR186" s="223">
        <f>IF(BM186&lt;$C$11-$C$10+1,0,IF(BL186&lt;=$C$13,VLOOKUP(BL186,$BN$80:$BQ$156,2,FALSE)-BS186,0))</f>
        <v>0</v>
      </c>
      <c r="BS186" s="223">
        <f>IF(BM186&lt;$C$11-$C$10+1,0,IF(BL186&lt;=$C$13,VLOOKUP(BL186,$BN$80:$BQ$156,3,FALSE),0))</f>
        <v>0</v>
      </c>
      <c r="BT186" s="222">
        <f>IF(BM186&lt;$C$11-$C$10+1,0,IF(BL186&lt;=$C$13,VLOOKUP(BL186,$BN$80:$BQ$156,4,FALSE),0))</f>
        <v>0</v>
      </c>
      <c r="BU186" s="223">
        <f t="shared" ref="BU186:BU199" si="359">IF((BR186+BS186)-CA186+BU185&lt;0,0,(BR186+BS186)-CA186+BU185)</f>
        <v>0</v>
      </c>
      <c r="BV186" s="223">
        <f t="shared" ref="BV186:BV199" si="360">IF(BS186-CA186+BV185&gt;0,BS186-CA186+BV185,0)</f>
        <v>0</v>
      </c>
      <c r="BW186" s="223">
        <f t="shared" ref="BW186:BW199" si="361">BU186-BV186</f>
        <v>0</v>
      </c>
      <c r="BX186" s="223">
        <f>IF(AND(BS186&lt;=0,BN186=0),MIN((MAX($BZ$80:$BZ$156)-SUM($BX$80:BX185)),CA186),IF(BS186&lt;CA186,BS186,CA186))</f>
        <v>0</v>
      </c>
      <c r="BY186" s="222">
        <f>IF(BN186&gt;0,0,IF(AND(BN186=0,BT186&lt;=0),100%,((BW185*(AVERAGE($BT$80:BT185))+(BR186*BT186))/(BR186+BW185+BS186+BV185))))</f>
        <v>1</v>
      </c>
      <c r="BZ186" s="139">
        <f t="shared" ref="BZ186:BZ199" si="362">AG186+BZ185</f>
        <v>430891.77838569693</v>
      </c>
      <c r="CA186" s="122">
        <f t="shared" ref="CA186:CA199" si="363">IF(BB186-BD186&lt;=0,0,BB186-BD186)</f>
        <v>246605.20374529352</v>
      </c>
      <c r="CB186" s="181">
        <f t="shared" ref="CB186:CB199" si="364">BY186</f>
        <v>1</v>
      </c>
      <c r="CC186" s="122">
        <f t="shared" ref="CC186:CC199" si="365">CA186+CC185</f>
        <v>9203055.9029796831</v>
      </c>
      <c r="CD186" s="182">
        <f t="shared" ref="CD186:CD199" si="366">BX186</f>
        <v>0</v>
      </c>
      <c r="CE186" s="122">
        <f t="shared" ref="CE186:CE199" si="367">CD186+CE185</f>
        <v>430891.77838569693</v>
      </c>
      <c r="CF186" s="122">
        <f t="shared" ref="CF186:CF199" si="368">BZ186-CE186</f>
        <v>0</v>
      </c>
      <c r="CG186" s="122" t="str">
        <f t="shared" ref="CG186:CG199" si="369">IF(CC186&lt;=0,"",IF(CF186&lt;=0,"","JA"))</f>
        <v/>
      </c>
      <c r="CH186" s="140">
        <f t="shared" ref="CH186:CH199" si="370">IF(CB186&lt;=0,0,IF(AND(CB186&gt;0,CB186&lt;=1,CG186="JA")=TRUE,CB186,100%))</f>
        <v>1</v>
      </c>
      <c r="CI186" s="142">
        <f t="shared" ref="CI186:CI199" si="371">CI185+CJ185</f>
        <v>9984</v>
      </c>
      <c r="CJ186" s="134">
        <f>CI186*$C$57</f>
        <v>0</v>
      </c>
      <c r="CK186" s="142">
        <f t="shared" ref="CK186:CK199" si="372">CK185+CL185</f>
        <v>14926</v>
      </c>
      <c r="CL186" s="134">
        <f>CK186*$C$57</f>
        <v>0</v>
      </c>
      <c r="CM186" s="142">
        <f t="shared" ref="CM186:CM199" si="373">CM185+CN185</f>
        <v>58596</v>
      </c>
      <c r="CN186" s="134">
        <f>CM186*$C$57</f>
        <v>0</v>
      </c>
      <c r="CO186" s="132">
        <f t="shared" ref="CO186:CO199" si="374">CA186*CH186</f>
        <v>246605.20374529352</v>
      </c>
      <c r="CP186" s="140">
        <f t="shared" ref="CP186:CP199" si="375">IF(CO186&lt;=0,0,IF(CO186&gt;CM186,$CM$66,IF(AND(CO186&gt;=CI186,CO186&lt;=CK186),($CK$66-$CI$66)/(CK186-CI186)*(CO186-CI186)+$CI$66,IF(AND(CO186&gt;=CK186,CO186&lt;=CM186),($CM$66-$CK$66)/(CM186-CK186)*(CO186-CK186)+$CK$66,0))))</f>
        <v>0.42</v>
      </c>
      <c r="CQ186" s="121" t="str">
        <f>IF($C$50="NEIN","NEIN",IF(CS186&lt;CR186,"JA","NEIN"))</f>
        <v>NEIN</v>
      </c>
      <c r="CR186" s="121">
        <f>CO186*$C$46</f>
        <v>65042.122487821165</v>
      </c>
      <c r="CS186" s="121">
        <f t="shared" ref="CS186:CS199" si="376">IF(CO186&lt;=0,0,IF(CO186&gt;CM186,$CM$66*CO186-9267.53,IF(AND(CO186&gt;=CI186,CO186&lt;=CK186),(1008.7*((CO186-CI186)/10000)+1400)*((CO186-CI186)/10000),IF(AND(CO186&gt;=CK186,CO186&lt;=CM186),(206.43*((CO186-CK186)/10000)+2397)*((CO186-CK186)/10000)+938.24,0))))</f>
        <v>94306.655573023279</v>
      </c>
      <c r="CT186" s="201">
        <f>IF($C$50="NEIN",CR186,IF(CQ186="NEIN",CR186,CS186))</f>
        <v>65042.122487821165</v>
      </c>
      <c r="CU186" s="149"/>
      <c r="CV186" s="202">
        <f t="shared" ref="CV186:CV199" si="377">CV185+CW185</f>
        <v>9984</v>
      </c>
      <c r="CW186" s="134">
        <f>CV186*$C$57</f>
        <v>0</v>
      </c>
      <c r="CX186" s="142">
        <f t="shared" ref="CX186:CX199" si="378">CX185+CY185</f>
        <v>14926</v>
      </c>
      <c r="CY186" s="134">
        <f>CX186*$C$57</f>
        <v>0</v>
      </c>
      <c r="CZ186" s="142">
        <f t="shared" ref="CZ186:CZ199" si="379">CZ185+DA185</f>
        <v>58596</v>
      </c>
      <c r="DA186" s="143">
        <f>CZ186*$C$57</f>
        <v>0</v>
      </c>
      <c r="DB186" s="165">
        <f t="shared" ref="DB186:DB199" si="380">IF(BB186-BD186&lt;0,0,BB186-BD186)</f>
        <v>246605.20374529352</v>
      </c>
      <c r="DC186" s="140">
        <f t="shared" ref="DC186:DC199" si="381">IF(DB186&lt;=0,0,IF(DB186&gt;CZ186,$CZ$76,IF(AND(DB186&gt;=CV186,DB186&lt;=CX186),($CX$76-$CV$76)/(CX186-CV186)*(DB186-CV186)+$CV$76,IF(AND(DB186&gt;=CX186,DB186&lt;=CZ186),($CZ$76-$CX$76)/(CZ186-CX186)*(DB186-CX186)+$CX$76,0))))</f>
        <v>0.42</v>
      </c>
      <c r="DD186" s="121" t="str">
        <f>IF($C$50="NEIN","NEIN",IF(DF186&lt;DE186,"JA","NEIN"))</f>
        <v>NEIN</v>
      </c>
      <c r="DE186" s="121">
        <f>DB186*$C$46</f>
        <v>65042.122487821165</v>
      </c>
      <c r="DF186" s="121">
        <f t="shared" ref="DF186:DF199" si="382">IF(DB186&lt;=0,0,IF(DB186&gt;CZ186,$CZ$76*DB186-9267.53,IF(AND(DB186&gt;=CV186,DB186&lt;=CX186),(1008.7*((DB186-CV186)/10000)+1400)*((DB186-CV186)/10000),IF(AND(DB186&gt;=CX186,DB186&lt;=CZ186),(206.43*((DB186-CX186)/10000)+2397)*((DB186-CX186)/10000)+938.24,0))))</f>
        <v>94306.655573023279</v>
      </c>
      <c r="DG186" s="201">
        <f>IF($C$50="NEIN",DE186,IF(DD186="NEIN",DE186,DF186))</f>
        <v>65042.122487821165</v>
      </c>
      <c r="DH186" s="97"/>
      <c r="DI186" s="125"/>
      <c r="DN186" s="75"/>
    </row>
    <row r="187" spans="2:206" ht="15.75" x14ac:dyDescent="0.5">
      <c r="B187" s="333"/>
      <c r="C187" s="75"/>
      <c r="D187" s="75"/>
      <c r="F187" s="75"/>
      <c r="G187" s="75"/>
      <c r="H187" s="75"/>
      <c r="I187" s="75"/>
      <c r="J187" s="75"/>
      <c r="K187" s="75"/>
      <c r="L187" s="75"/>
      <c r="M187" s="75"/>
      <c r="O187" s="75"/>
      <c r="P187" s="75"/>
      <c r="Q187" s="75"/>
      <c r="R187" s="75"/>
      <c r="S187" s="290"/>
      <c r="T187" s="291"/>
      <c r="U187" s="291"/>
      <c r="V187" s="292"/>
      <c r="W187" s="292"/>
      <c r="AB187" s="117">
        <f t="shared" si="207"/>
        <v>135</v>
      </c>
      <c r="AC187" s="117">
        <f t="shared" si="208"/>
        <v>2128</v>
      </c>
      <c r="AD187" s="299">
        <f>IF($C$20="NEIN",$C$21,IF($C$22="JA",'HISTORISCHE RENDITEN'!E111,'HISTORISCHE RENDITEN'!D111))</f>
        <v>-7.9199999999999993E-2</v>
      </c>
      <c r="AE187" s="129">
        <f t="shared" si="278"/>
        <v>135</v>
      </c>
      <c r="AF187" s="120">
        <f t="shared" si="340"/>
        <v>2128</v>
      </c>
      <c r="AG187" s="122">
        <f t="shared" si="341"/>
        <v>0</v>
      </c>
      <c r="AH187" s="124">
        <f t="shared" si="342"/>
        <v>430891.77838569693</v>
      </c>
      <c r="AI187" s="296">
        <f t="shared" si="343"/>
        <v>-20639917.053538751</v>
      </c>
      <c r="AJ187" s="123">
        <f t="shared" si="233"/>
        <v>0</v>
      </c>
      <c r="AK187" s="124">
        <f t="shared" si="344"/>
        <v>-19005235.622898482</v>
      </c>
      <c r="AL187" s="122">
        <f t="shared" si="345"/>
        <v>1634681.4306402691</v>
      </c>
      <c r="AM187" s="122">
        <f>IF($C$25="Ausschütter",0,IF(AL187&gt;=0,(AI187+AJ187)*$C$48*0.7))</f>
        <v>-10113.559356233987</v>
      </c>
      <c r="AN187" s="122">
        <f t="shared" si="323"/>
        <v>0</v>
      </c>
      <c r="AO187" s="122">
        <f t="shared" si="212"/>
        <v>-10113.559356233987</v>
      </c>
      <c r="AP187" s="122">
        <f t="shared" si="346"/>
        <v>-18866.221048522573</v>
      </c>
      <c r="AQ187" s="122">
        <f>IF($C$25="AUSSCHÜTTER",0,IF(AO187*$C$46*$C$49&lt;=$C$47,0,AO187*$C$46*$C$49))</f>
        <v>0</v>
      </c>
      <c r="AR187" s="122">
        <f>IF(AO186*$C$49&gt;$C$47,(AN187)*$C$49*$C$46,IF((AO186+AN187)*$C$49&gt;$C$47,((AO186+AN187)*$C$49-$C$47)*$C$46,0))</f>
        <v>0</v>
      </c>
      <c r="AS187" s="122">
        <f t="shared" si="347"/>
        <v>0</v>
      </c>
      <c r="AT187" s="122">
        <f t="shared" si="348"/>
        <v>430891.77838569693</v>
      </c>
      <c r="AU187" s="122">
        <f t="shared" si="349"/>
        <v>0</v>
      </c>
      <c r="AV187" s="122">
        <f t="shared" si="350"/>
        <v>-19005235.622898482</v>
      </c>
      <c r="AW187" s="122">
        <f t="shared" si="335"/>
        <v>0</v>
      </c>
      <c r="AX187" s="130">
        <f t="shared" si="336"/>
        <v>0</v>
      </c>
      <c r="AY187" s="82">
        <f>IF(AF187&lt;$C$11,$C$15*(1+$C$19)^(AF187-$C$10),0)</f>
        <v>0</v>
      </c>
      <c r="AZ187" s="82">
        <f>$C$14*(1+$C$37)^(AF187-$C$10)</f>
        <v>252770.33383892587</v>
      </c>
      <c r="BA187" s="165">
        <f>IF(AF187&lt;$C$11,0,MAX($C$38*AI187,AZ187))</f>
        <v>252770.33383892587</v>
      </c>
      <c r="BB187" s="82">
        <f>IF(AF187&lt;$C$11,0,MAX($C$38*AI187,AZ187))</f>
        <v>252770.33383892587</v>
      </c>
      <c r="BC187" s="136">
        <f>IF($C$39="JA",CT187,DG187)</f>
        <v>66668.175550016691</v>
      </c>
      <c r="BD187" s="82">
        <f t="shared" si="324"/>
        <v>0</v>
      </c>
      <c r="BE187" s="82">
        <f>IF(AF187&lt;($C$8+$C$30),0,$C$29*12*(1-$C$31))</f>
        <v>0</v>
      </c>
      <c r="BF187" s="82">
        <f>IF(AF187&lt;($C$8+$C$34),0,$C$33*12*(1-$C$35))</f>
        <v>0</v>
      </c>
      <c r="BG187" s="82">
        <f>IF(AF187&lt;$C$11,0,IF(AI187&lt;0,$C$42*(1+$C$44)^(AF187-$C$10),IF(((AL187+BE187+BF187)*$C$41)&lt;$C$42*(1+$C$44)^(AF187-$C$10),$C$42*(1+$C$44)^(AF187-$C$10),IF(((AL187+BE187+BF187)*$C$41)&lt;$C$43*(1+$C$44)^(AF187-$C$10),(AL187+BE187+BF187)*$C$41,IF(((AL187+BE187+BF187+BB187)*$C$41)&lt;$C$43*(1+$C$44)^(AF187-$C$10),((AL187+BE187+BF187+BB187)*$C$41),$C$43*(1+$C$44)^(AF187-$C$10))))))</f>
        <v>11805.319962897502</v>
      </c>
      <c r="BH187" s="82">
        <f t="shared" si="238"/>
        <v>331243.82935184008</v>
      </c>
      <c r="BI187" s="242">
        <f t="shared" si="351"/>
        <v>-19005235.622898482</v>
      </c>
      <c r="BJ187" s="217">
        <f t="shared" si="352"/>
        <v>-19336479.45225032</v>
      </c>
      <c r="BK187" s="118"/>
      <c r="BL187" s="219">
        <f t="shared" si="353"/>
        <v>91</v>
      </c>
      <c r="BM187" s="220">
        <f t="shared" si="354"/>
        <v>108</v>
      </c>
      <c r="BN187" s="220">
        <f t="shared" si="355"/>
        <v>0</v>
      </c>
      <c r="BO187" s="221">
        <f t="shared" si="356"/>
        <v>0</v>
      </c>
      <c r="BP187" s="221">
        <f t="shared" si="357"/>
        <v>0</v>
      </c>
      <c r="BQ187" s="222">
        <f t="shared" si="358"/>
        <v>0</v>
      </c>
      <c r="BR187" s="223">
        <f>IF(BM187&lt;$C$11-$C$10+1,0,IF(BL187&lt;=$C$13,VLOOKUP(BL187,$BN$80:$BQ$156,2,FALSE)-BS187,0))</f>
        <v>0</v>
      </c>
      <c r="BS187" s="223">
        <f>IF(BM187&lt;$C$11-$C$10+1,0,IF(BL187&lt;=$C$13,VLOOKUP(BL187,$BN$80:$BQ$156,3,FALSE),0))</f>
        <v>0</v>
      </c>
      <c r="BT187" s="222">
        <f>IF(BM187&lt;$C$11-$C$10+1,0,IF(BL187&lt;=$C$13,VLOOKUP(BL187,$BN$80:$BQ$156,4,FALSE),0))</f>
        <v>0</v>
      </c>
      <c r="BU187" s="223">
        <f t="shared" si="359"/>
        <v>0</v>
      </c>
      <c r="BV187" s="223">
        <f t="shared" si="360"/>
        <v>0</v>
      </c>
      <c r="BW187" s="223">
        <f t="shared" si="361"/>
        <v>0</v>
      </c>
      <c r="BX187" s="223">
        <f>IF(AND(BS187&lt;=0,BN187=0),MIN((MAX($BZ$80:$BZ$156)-SUM($BX$80:BX186)),CA187),IF(BS187&lt;CA187,BS187,CA187))</f>
        <v>0</v>
      </c>
      <c r="BY187" s="222">
        <f>IF(BN187&gt;0,0,IF(AND(BN187=0,BT187&lt;=0),100%,((BW186*(AVERAGE($BT$80:BT186))+(BR187*BT187))/(BR187+BW186+BS187+BV186))))</f>
        <v>1</v>
      </c>
      <c r="BZ187" s="139">
        <f t="shared" si="362"/>
        <v>430891.77838569693</v>
      </c>
      <c r="CA187" s="122">
        <f t="shared" si="363"/>
        <v>252770.33383892587</v>
      </c>
      <c r="CB187" s="181">
        <f t="shared" si="364"/>
        <v>1</v>
      </c>
      <c r="CC187" s="122">
        <f t="shared" si="365"/>
        <v>9455826.2368186098</v>
      </c>
      <c r="CD187" s="182">
        <f t="shared" si="366"/>
        <v>0</v>
      </c>
      <c r="CE187" s="122">
        <f t="shared" si="367"/>
        <v>430891.77838569693</v>
      </c>
      <c r="CF187" s="122">
        <f t="shared" si="368"/>
        <v>0</v>
      </c>
      <c r="CG187" s="122" t="str">
        <f t="shared" si="369"/>
        <v/>
      </c>
      <c r="CH187" s="140">
        <f t="shared" si="370"/>
        <v>1</v>
      </c>
      <c r="CI187" s="142">
        <f t="shared" si="371"/>
        <v>9984</v>
      </c>
      <c r="CJ187" s="134">
        <f>CI187*$C$57</f>
        <v>0</v>
      </c>
      <c r="CK187" s="142">
        <f t="shared" si="372"/>
        <v>14926</v>
      </c>
      <c r="CL187" s="134">
        <f>CK187*$C$57</f>
        <v>0</v>
      </c>
      <c r="CM187" s="142">
        <f t="shared" si="373"/>
        <v>58596</v>
      </c>
      <c r="CN187" s="134">
        <f>CM187*$C$57</f>
        <v>0</v>
      </c>
      <c r="CO187" s="132">
        <f t="shared" si="374"/>
        <v>252770.33383892587</v>
      </c>
      <c r="CP187" s="140">
        <f t="shared" si="375"/>
        <v>0.42</v>
      </c>
      <c r="CQ187" s="121" t="str">
        <f>IF($C$50="NEIN","NEIN",IF(CS187&lt;CR187,"JA","NEIN"))</f>
        <v>NEIN</v>
      </c>
      <c r="CR187" s="121">
        <f>CO187*$C$46</f>
        <v>66668.175550016691</v>
      </c>
      <c r="CS187" s="121">
        <f t="shared" si="376"/>
        <v>96896.010212348861</v>
      </c>
      <c r="CT187" s="201">
        <f>IF($C$50="NEIN",CR187,IF(CQ187="NEIN",CR187,CS187))</f>
        <v>66668.175550016691</v>
      </c>
      <c r="CU187" s="149"/>
      <c r="CV187" s="202">
        <f t="shared" si="377"/>
        <v>9984</v>
      </c>
      <c r="CW187" s="134">
        <f>CV187*$C$57</f>
        <v>0</v>
      </c>
      <c r="CX187" s="142">
        <f t="shared" si="378"/>
        <v>14926</v>
      </c>
      <c r="CY187" s="134">
        <f>CX187*$C$57</f>
        <v>0</v>
      </c>
      <c r="CZ187" s="142">
        <f t="shared" si="379"/>
        <v>58596</v>
      </c>
      <c r="DA187" s="143">
        <f>CZ187*$C$57</f>
        <v>0</v>
      </c>
      <c r="DB187" s="165">
        <f t="shared" si="380"/>
        <v>252770.33383892587</v>
      </c>
      <c r="DC187" s="140">
        <f t="shared" si="381"/>
        <v>0.42</v>
      </c>
      <c r="DD187" s="121" t="str">
        <f>IF($C$50="NEIN","NEIN",IF(DF187&lt;DE187,"JA","NEIN"))</f>
        <v>NEIN</v>
      </c>
      <c r="DE187" s="121">
        <f>DB187*$C$46</f>
        <v>66668.175550016691</v>
      </c>
      <c r="DF187" s="121">
        <f t="shared" si="382"/>
        <v>96896.010212348861</v>
      </c>
      <c r="DG187" s="201">
        <f>IF($C$50="NEIN",DE187,IF(DD187="NEIN",DE187,DF187))</f>
        <v>66668.175550016691</v>
      </c>
      <c r="DH187" s="97"/>
      <c r="DI187" s="125"/>
      <c r="DN187" s="75"/>
    </row>
    <row r="188" spans="2:206" ht="15.75" x14ac:dyDescent="0.5">
      <c r="B188" s="333"/>
      <c r="C188" s="75"/>
      <c r="D188" s="75"/>
      <c r="F188" s="75"/>
      <c r="G188" s="75"/>
      <c r="H188" s="75"/>
      <c r="I188" s="75"/>
      <c r="J188" s="75"/>
      <c r="K188" s="75"/>
      <c r="L188" s="75"/>
      <c r="M188" s="75"/>
      <c r="O188" s="75"/>
      <c r="P188" s="75"/>
      <c r="Q188" s="75"/>
      <c r="R188" s="75"/>
      <c r="S188" s="290"/>
      <c r="T188" s="291"/>
      <c r="U188" s="291"/>
      <c r="V188" s="292"/>
      <c r="W188" s="292"/>
      <c r="AB188" s="117">
        <f t="shared" si="207"/>
        <v>136</v>
      </c>
      <c r="AC188" s="117">
        <f t="shared" si="208"/>
        <v>2129</v>
      </c>
      <c r="AD188" s="299">
        <f>IF($C$20="NEIN",$C$21,IF($C$22="JA",'HISTORISCHE RENDITEN'!E112,'HISTORISCHE RENDITEN'!D112))</f>
        <v>5.8200000000000002E-2</v>
      </c>
      <c r="AE188" s="129">
        <f t="shared" si="278"/>
        <v>136</v>
      </c>
      <c r="AF188" s="120">
        <f t="shared" si="340"/>
        <v>2129</v>
      </c>
      <c r="AG188" s="122">
        <f t="shared" si="341"/>
        <v>0</v>
      </c>
      <c r="AH188" s="124">
        <f t="shared" si="342"/>
        <v>430891.77838569693</v>
      </c>
      <c r="AI188" s="296">
        <f t="shared" si="343"/>
        <v>-19336479.45225032</v>
      </c>
      <c r="AJ188" s="123">
        <f t="shared" si="233"/>
        <v>0</v>
      </c>
      <c r="AK188" s="124">
        <f t="shared" si="344"/>
        <v>-20461862.55637129</v>
      </c>
      <c r="AL188" s="122">
        <f t="shared" si="345"/>
        <v>-1125383.1041209698</v>
      </c>
      <c r="AM188" s="122" t="b">
        <f>IF($C$25="Ausschütter",0,IF(AL188&gt;=0,(AI188+AJ188)*$C$48*0.7))</f>
        <v>0</v>
      </c>
      <c r="AN188" s="122">
        <f t="shared" si="323"/>
        <v>0</v>
      </c>
      <c r="AO188" s="122">
        <f t="shared" si="212"/>
        <v>0</v>
      </c>
      <c r="AP188" s="122">
        <f t="shared" si="346"/>
        <v>-18866.221048522573</v>
      </c>
      <c r="AQ188" s="122">
        <f>IF($C$25="AUSSCHÜTTER",0,IF(AO188*$C$46*$C$49&lt;=$C$47,0,AO188*$C$46*$C$49))</f>
        <v>0</v>
      </c>
      <c r="AR188" s="122">
        <f>IF(AO187*$C$49&gt;$C$47,(AN188)*$C$49*$C$46,IF((AO187+AN188)*$C$49&gt;$C$47,((AO187+AN188)*$C$49-$C$47)*$C$46,0))</f>
        <v>0</v>
      </c>
      <c r="AS188" s="122">
        <f t="shared" si="347"/>
        <v>0</v>
      </c>
      <c r="AT188" s="122">
        <f t="shared" si="348"/>
        <v>430891.77838569693</v>
      </c>
      <c r="AU188" s="122">
        <f t="shared" si="349"/>
        <v>0</v>
      </c>
      <c r="AV188" s="122">
        <f t="shared" si="350"/>
        <v>-20461862.55637129</v>
      </c>
      <c r="AW188" s="122">
        <f t="shared" si="335"/>
        <v>0</v>
      </c>
      <c r="AX188" s="130">
        <f t="shared" si="336"/>
        <v>0</v>
      </c>
      <c r="AY188" s="82">
        <f>IF(AF188&lt;$C$11,$C$15*(1+$C$19)^(AF188-$C$10),0)</f>
        <v>0</v>
      </c>
      <c r="AZ188" s="82">
        <f>$C$14*(1+$C$37)^(AF188-$C$10)</f>
        <v>259089.59218489894</v>
      </c>
      <c r="BA188" s="165">
        <f>IF(AF188&lt;$C$11,0,MAX($C$38*AI188,AZ188))</f>
        <v>259089.59218489894</v>
      </c>
      <c r="BB188" s="82">
        <f>IF(AF188&lt;$C$11,0,MAX($C$38*AI188,AZ188))</f>
        <v>259089.59218489894</v>
      </c>
      <c r="BC188" s="136">
        <f>IF($C$39="JA",CT188,DG188)</f>
        <v>68334.879938767088</v>
      </c>
      <c r="BD188" s="82">
        <f t="shared" si="324"/>
        <v>0</v>
      </c>
      <c r="BE188" s="82">
        <f>IF(AF188&lt;($C$8+$C$30),0,$C$29*12*(1-$C$31))</f>
        <v>0</v>
      </c>
      <c r="BF188" s="82">
        <f>IF(AF188&lt;($C$8+$C$34),0,$C$33*12*(1-$C$35))</f>
        <v>0</v>
      </c>
      <c r="BG188" s="82">
        <f>IF(AF188&lt;$C$11,0,IF(AI188&lt;0,$C$42*(1+$C$44)^(AF188-$C$10),IF(((AL188+BE188+BF188)*$C$41)&lt;$C$42*(1+$C$44)^(AF188-$C$10),$C$42*(1+$C$44)^(AF188-$C$10),IF(((AL188+BE188+BF188)*$C$41)&lt;$C$43*(1+$C$44)^(AF188-$C$10),(AL188+BE188+BF188)*$C$41,IF(((AL188+BE188+BF188+BB188)*$C$41)&lt;$C$43*(1+$C$44)^(AF188-$C$10),((AL188+BE188+BF188+BB188)*$C$41),$C$43*(1+$C$44)^(AF188-$C$10))))))</f>
        <v>11982.399762340961</v>
      </c>
      <c r="BH188" s="82">
        <f t="shared" si="238"/>
        <v>339406.87188600702</v>
      </c>
      <c r="BI188" s="242">
        <f t="shared" si="351"/>
        <v>-20461862.55637129</v>
      </c>
      <c r="BJ188" s="217">
        <f t="shared" si="352"/>
        <v>-20801269.428257298</v>
      </c>
      <c r="BK188" s="118"/>
      <c r="BL188" s="219">
        <f t="shared" si="353"/>
        <v>92</v>
      </c>
      <c r="BM188" s="220">
        <f t="shared" si="354"/>
        <v>109</v>
      </c>
      <c r="BN188" s="220">
        <f t="shared" si="355"/>
        <v>0</v>
      </c>
      <c r="BO188" s="221">
        <f t="shared" si="356"/>
        <v>0</v>
      </c>
      <c r="BP188" s="221">
        <f t="shared" si="357"/>
        <v>0</v>
      </c>
      <c r="BQ188" s="222">
        <f t="shared" si="358"/>
        <v>0</v>
      </c>
      <c r="BR188" s="223">
        <f>IF(BM188&lt;$C$11-$C$10+1,0,IF(BL188&lt;=$C$13,VLOOKUP(BL188,$BN$80:$BQ$156,2,FALSE)-BS188,0))</f>
        <v>0</v>
      </c>
      <c r="BS188" s="223">
        <f>IF(BM188&lt;$C$11-$C$10+1,0,IF(BL188&lt;=$C$13,VLOOKUP(BL188,$BN$80:$BQ$156,3,FALSE),0))</f>
        <v>0</v>
      </c>
      <c r="BT188" s="222">
        <f>IF(BM188&lt;$C$11-$C$10+1,0,IF(BL188&lt;=$C$13,VLOOKUP(BL188,$BN$80:$BQ$156,4,FALSE),0))</f>
        <v>0</v>
      </c>
      <c r="BU188" s="223">
        <f t="shared" si="359"/>
        <v>0</v>
      </c>
      <c r="BV188" s="223">
        <f t="shared" si="360"/>
        <v>0</v>
      </c>
      <c r="BW188" s="223">
        <f t="shared" si="361"/>
        <v>0</v>
      </c>
      <c r="BX188" s="223">
        <f>IF(AND(BS188&lt;=0,BN188=0),MIN((MAX($BZ$80:$BZ$156)-SUM($BX$80:BX187)),CA188),IF(BS188&lt;CA188,BS188,CA188))</f>
        <v>0</v>
      </c>
      <c r="BY188" s="222">
        <f>IF(BN188&gt;0,0,IF(AND(BN188=0,BT188&lt;=0),100%,((BW187*(AVERAGE($BT$80:BT187))+(BR188*BT188))/(BR188+BW187+BS188+BV187))))</f>
        <v>1</v>
      </c>
      <c r="BZ188" s="139">
        <f t="shared" si="362"/>
        <v>430891.77838569693</v>
      </c>
      <c r="CA188" s="122">
        <f t="shared" si="363"/>
        <v>259089.59218489894</v>
      </c>
      <c r="CB188" s="181">
        <f t="shared" si="364"/>
        <v>1</v>
      </c>
      <c r="CC188" s="122">
        <f t="shared" si="365"/>
        <v>9714915.8290035091</v>
      </c>
      <c r="CD188" s="182">
        <f t="shared" si="366"/>
        <v>0</v>
      </c>
      <c r="CE188" s="122">
        <f t="shared" si="367"/>
        <v>430891.77838569693</v>
      </c>
      <c r="CF188" s="122">
        <f t="shared" si="368"/>
        <v>0</v>
      </c>
      <c r="CG188" s="122" t="str">
        <f t="shared" si="369"/>
        <v/>
      </c>
      <c r="CH188" s="140">
        <f t="shared" si="370"/>
        <v>1</v>
      </c>
      <c r="CI188" s="142">
        <f t="shared" si="371"/>
        <v>9984</v>
      </c>
      <c r="CJ188" s="134">
        <f>CI188*$C$57</f>
        <v>0</v>
      </c>
      <c r="CK188" s="142">
        <f t="shared" si="372"/>
        <v>14926</v>
      </c>
      <c r="CL188" s="134">
        <f>CK188*$C$57</f>
        <v>0</v>
      </c>
      <c r="CM188" s="142">
        <f t="shared" si="373"/>
        <v>58596</v>
      </c>
      <c r="CN188" s="134">
        <f>CM188*$C$57</f>
        <v>0</v>
      </c>
      <c r="CO188" s="132">
        <f t="shared" si="374"/>
        <v>259089.59218489894</v>
      </c>
      <c r="CP188" s="140">
        <f t="shared" si="375"/>
        <v>0.42</v>
      </c>
      <c r="CQ188" s="121" t="str">
        <f>IF($C$50="NEIN","NEIN",IF(CS188&lt;CR188,"JA","NEIN"))</f>
        <v>NEIN</v>
      </c>
      <c r="CR188" s="121">
        <f>CO188*$C$46</f>
        <v>68334.879938767088</v>
      </c>
      <c r="CS188" s="121">
        <f t="shared" si="376"/>
        <v>99550.098717657558</v>
      </c>
      <c r="CT188" s="201">
        <f>IF($C$50="NEIN",CR188,IF(CQ188="NEIN",CR188,CS188))</f>
        <v>68334.879938767088</v>
      </c>
      <c r="CU188" s="149"/>
      <c r="CV188" s="202">
        <f t="shared" si="377"/>
        <v>9984</v>
      </c>
      <c r="CW188" s="134">
        <f>CV188*$C$57</f>
        <v>0</v>
      </c>
      <c r="CX188" s="142">
        <f t="shared" si="378"/>
        <v>14926</v>
      </c>
      <c r="CY188" s="134">
        <f>CX188*$C$57</f>
        <v>0</v>
      </c>
      <c r="CZ188" s="142">
        <f t="shared" si="379"/>
        <v>58596</v>
      </c>
      <c r="DA188" s="143">
        <f>CZ188*$C$57</f>
        <v>0</v>
      </c>
      <c r="DB188" s="165">
        <f t="shared" si="380"/>
        <v>259089.59218489894</v>
      </c>
      <c r="DC188" s="140">
        <f t="shared" si="381"/>
        <v>0.42</v>
      </c>
      <c r="DD188" s="121" t="str">
        <f>IF($C$50="NEIN","NEIN",IF(DF188&lt;DE188,"JA","NEIN"))</f>
        <v>NEIN</v>
      </c>
      <c r="DE188" s="121">
        <f>DB188*$C$46</f>
        <v>68334.879938767088</v>
      </c>
      <c r="DF188" s="121">
        <f t="shared" si="382"/>
        <v>99550.098717657558</v>
      </c>
      <c r="DG188" s="201">
        <f>IF($C$50="NEIN",DE188,IF(DD188="NEIN",DE188,DF188))</f>
        <v>68334.879938767088</v>
      </c>
      <c r="DH188" s="97"/>
      <c r="DI188" s="125"/>
      <c r="DN188" s="75"/>
    </row>
    <row r="189" spans="2:206" ht="15.75" x14ac:dyDescent="0.5">
      <c r="B189" s="333"/>
      <c r="C189" s="75"/>
      <c r="D189" s="75"/>
      <c r="F189" s="75"/>
      <c r="G189" s="75"/>
      <c r="H189" s="75"/>
      <c r="I189" s="75"/>
      <c r="J189" s="75"/>
      <c r="K189" s="75"/>
      <c r="L189" s="75"/>
      <c r="M189" s="75"/>
      <c r="O189" s="75"/>
      <c r="P189" s="75"/>
      <c r="Q189" s="75"/>
      <c r="R189" s="75"/>
      <c r="S189" s="290"/>
      <c r="T189" s="291"/>
      <c r="U189" s="291"/>
      <c r="V189" s="292"/>
      <c r="W189" s="292"/>
      <c r="AB189" s="117">
        <f t="shared" si="207"/>
        <v>137</v>
      </c>
      <c r="AC189" s="117">
        <f t="shared" si="208"/>
        <v>2130</v>
      </c>
      <c r="AD189" s="299">
        <f>IF($C$20="NEIN",$C$21,IF($C$22="JA",'HISTORISCHE RENDITEN'!E113,'HISTORISCHE RENDITEN'!D113))</f>
        <v>0.18559999999999999</v>
      </c>
      <c r="AE189" s="129">
        <f t="shared" si="278"/>
        <v>137</v>
      </c>
      <c r="AF189" s="120">
        <f t="shared" si="340"/>
        <v>2130</v>
      </c>
      <c r="AG189" s="122">
        <f t="shared" si="341"/>
        <v>0</v>
      </c>
      <c r="AH189" s="124">
        <f t="shared" si="342"/>
        <v>430891.77838569693</v>
      </c>
      <c r="AI189" s="296">
        <f t="shared" si="343"/>
        <v>-20801269.428257298</v>
      </c>
      <c r="AJ189" s="123">
        <f t="shared" si="233"/>
        <v>0</v>
      </c>
      <c r="AK189" s="124">
        <f t="shared" si="344"/>
        <v>-24661985.034141853</v>
      </c>
      <c r="AL189" s="122">
        <f t="shared" si="345"/>
        <v>-3860715.6058845557</v>
      </c>
      <c r="AM189" s="122" t="b">
        <f>IF($C$25="Ausschütter",0,IF(AL189&gt;=0,(AI189+AJ189)*$C$48*0.7))</f>
        <v>0</v>
      </c>
      <c r="AN189" s="122">
        <f t="shared" si="323"/>
        <v>0</v>
      </c>
      <c r="AO189" s="122">
        <f t="shared" si="212"/>
        <v>0</v>
      </c>
      <c r="AP189" s="122">
        <f t="shared" si="346"/>
        <v>-18866.221048522573</v>
      </c>
      <c r="AQ189" s="122">
        <f>IF($C$25="AUSSCHÜTTER",0,IF(AO189*$C$46*$C$49&lt;=$C$47,0,AO189*$C$46*$C$49))</f>
        <v>0</v>
      </c>
      <c r="AR189" s="122">
        <f>IF(AO188*$C$49&gt;$C$47,(AN189)*$C$49*$C$46,IF((AO188+AN189)*$C$49&gt;$C$47,((AO188+AN189)*$C$49-$C$47)*$C$46,0))</f>
        <v>0</v>
      </c>
      <c r="AS189" s="122">
        <f t="shared" si="347"/>
        <v>0</v>
      </c>
      <c r="AT189" s="122">
        <f t="shared" si="348"/>
        <v>430891.77838569693</v>
      </c>
      <c r="AU189" s="122">
        <f t="shared" si="349"/>
        <v>0</v>
      </c>
      <c r="AV189" s="122">
        <f t="shared" si="350"/>
        <v>-24661985.034141853</v>
      </c>
      <c r="AW189" s="122">
        <f t="shared" si="335"/>
        <v>0</v>
      </c>
      <c r="AX189" s="130">
        <f t="shared" si="336"/>
        <v>0</v>
      </c>
      <c r="AY189" s="82">
        <f>IF(AF189&lt;$C$11,$C$15*(1+$C$19)^(AF189-$C$10),0)</f>
        <v>0</v>
      </c>
      <c r="AZ189" s="82">
        <f>$C$14*(1+$C$37)^(AF189-$C$10)</f>
        <v>265566.83198952145</v>
      </c>
      <c r="BA189" s="165">
        <f>IF(AF189&lt;$C$11,0,MAX($C$38*AI189,AZ189))</f>
        <v>265566.83198952145</v>
      </c>
      <c r="BB189" s="82">
        <f>IF(AF189&lt;$C$11,0,MAX($C$38*AI189,AZ189))</f>
        <v>265566.83198952145</v>
      </c>
      <c r="BC189" s="136">
        <f>IF($C$39="JA",CT189,DG189)</f>
        <v>70043.251937236273</v>
      </c>
      <c r="BD189" s="82">
        <f t="shared" si="324"/>
        <v>0</v>
      </c>
      <c r="BE189" s="82">
        <f>IF(AF189&lt;($C$8+$C$30),0,$C$29*12*(1-$C$31))</f>
        <v>0</v>
      </c>
      <c r="BF189" s="82">
        <f>IF(AF189&lt;($C$8+$C$34),0,$C$33*12*(1-$C$35))</f>
        <v>0</v>
      </c>
      <c r="BG189" s="82">
        <f>IF(AF189&lt;$C$11,0,IF(AI189&lt;0,$C$42*(1+$C$44)^(AF189-$C$10),IF(((AL189+BE189+BF189)*$C$41)&lt;$C$42*(1+$C$44)^(AF189-$C$10),$C$42*(1+$C$44)^(AF189-$C$10),IF(((AL189+BE189+BF189)*$C$41)&lt;$C$43*(1+$C$44)^(AF189-$C$10),(AL189+BE189+BF189)*$C$41,IF(((AL189+BE189+BF189+BB189)*$C$41)&lt;$C$43*(1+$C$44)^(AF189-$C$10),((AL189+BE189+BF189+BB189)*$C$41),$C$43*(1+$C$44)^(AF189-$C$10))))))</f>
        <v>12162.135758776076</v>
      </c>
      <c r="BH189" s="82">
        <f t="shared" si="238"/>
        <v>347772.21968553378</v>
      </c>
      <c r="BI189" s="242">
        <f t="shared" si="351"/>
        <v>-24661985.034141853</v>
      </c>
      <c r="BJ189" s="217">
        <f t="shared" si="352"/>
        <v>-25009757.253827386</v>
      </c>
      <c r="BK189" s="118"/>
      <c r="BL189" s="219">
        <f t="shared" si="353"/>
        <v>93</v>
      </c>
      <c r="BM189" s="220">
        <f t="shared" si="354"/>
        <v>110</v>
      </c>
      <c r="BN189" s="220">
        <f t="shared" si="355"/>
        <v>0</v>
      </c>
      <c r="BO189" s="221">
        <f t="shared" si="356"/>
        <v>0</v>
      </c>
      <c r="BP189" s="221">
        <f t="shared" si="357"/>
        <v>0</v>
      </c>
      <c r="BQ189" s="222">
        <f t="shared" si="358"/>
        <v>0</v>
      </c>
      <c r="BR189" s="223">
        <f>IF(BM189&lt;$C$11-$C$10+1,0,IF(BL189&lt;=$C$13,VLOOKUP(BL189,$BN$80:$BQ$156,2,FALSE)-BS189,0))</f>
        <v>0</v>
      </c>
      <c r="BS189" s="223">
        <f>IF(BM189&lt;$C$11-$C$10+1,0,IF(BL189&lt;=$C$13,VLOOKUP(BL189,$BN$80:$BQ$156,3,FALSE),0))</f>
        <v>0</v>
      </c>
      <c r="BT189" s="222">
        <f>IF(BM189&lt;$C$11-$C$10+1,0,IF(BL189&lt;=$C$13,VLOOKUP(BL189,$BN$80:$BQ$156,4,FALSE),0))</f>
        <v>0</v>
      </c>
      <c r="BU189" s="223">
        <f t="shared" si="359"/>
        <v>0</v>
      </c>
      <c r="BV189" s="223">
        <f t="shared" si="360"/>
        <v>0</v>
      </c>
      <c r="BW189" s="223">
        <f t="shared" si="361"/>
        <v>0</v>
      </c>
      <c r="BX189" s="223">
        <f>IF(AND(BS189&lt;=0,BN189=0),MIN((MAX($BZ$80:$BZ$156)-SUM($BX$80:BX188)),CA189),IF(BS189&lt;CA189,BS189,CA189))</f>
        <v>0</v>
      </c>
      <c r="BY189" s="222">
        <f>IF(BN189&gt;0,0,IF(AND(BN189=0,BT189&lt;=0),100%,((BW188*(AVERAGE($BT$80:BT188))+(BR189*BT189))/(BR189+BW188+BS189+BV188))))</f>
        <v>1</v>
      </c>
      <c r="BZ189" s="139">
        <f t="shared" si="362"/>
        <v>430891.77838569693</v>
      </c>
      <c r="CA189" s="122">
        <f t="shared" si="363"/>
        <v>265566.83198952145</v>
      </c>
      <c r="CB189" s="181">
        <f t="shared" si="364"/>
        <v>1</v>
      </c>
      <c r="CC189" s="122">
        <f t="shared" si="365"/>
        <v>9980482.6609930303</v>
      </c>
      <c r="CD189" s="182">
        <f t="shared" si="366"/>
        <v>0</v>
      </c>
      <c r="CE189" s="122">
        <f t="shared" si="367"/>
        <v>430891.77838569693</v>
      </c>
      <c r="CF189" s="122">
        <f t="shared" si="368"/>
        <v>0</v>
      </c>
      <c r="CG189" s="122" t="str">
        <f t="shared" si="369"/>
        <v/>
      </c>
      <c r="CH189" s="140">
        <f t="shared" si="370"/>
        <v>1</v>
      </c>
      <c r="CI189" s="142">
        <f t="shared" si="371"/>
        <v>9984</v>
      </c>
      <c r="CJ189" s="134">
        <f>CI189*$C$57</f>
        <v>0</v>
      </c>
      <c r="CK189" s="142">
        <f t="shared" si="372"/>
        <v>14926</v>
      </c>
      <c r="CL189" s="134">
        <f>CK189*$C$57</f>
        <v>0</v>
      </c>
      <c r="CM189" s="142">
        <f t="shared" si="373"/>
        <v>58596</v>
      </c>
      <c r="CN189" s="134">
        <f>CM189*$C$57</f>
        <v>0</v>
      </c>
      <c r="CO189" s="132">
        <f t="shared" si="374"/>
        <v>265566.83198952145</v>
      </c>
      <c r="CP189" s="140">
        <f t="shared" si="375"/>
        <v>0.42</v>
      </c>
      <c r="CQ189" s="121" t="str">
        <f>IF($C$50="NEIN","NEIN",IF(CS189&lt;CR189,"JA","NEIN"))</f>
        <v>NEIN</v>
      </c>
      <c r="CR189" s="121">
        <f>CO189*$C$46</f>
        <v>70043.251937236273</v>
      </c>
      <c r="CS189" s="121">
        <f t="shared" si="376"/>
        <v>102270.53943559901</v>
      </c>
      <c r="CT189" s="201">
        <f>IF($C$50="NEIN",CR189,IF(CQ189="NEIN",CR189,CS189))</f>
        <v>70043.251937236273</v>
      </c>
      <c r="CU189" s="149"/>
      <c r="CV189" s="202">
        <f t="shared" si="377"/>
        <v>9984</v>
      </c>
      <c r="CW189" s="134">
        <f>CV189*$C$57</f>
        <v>0</v>
      </c>
      <c r="CX189" s="142">
        <f t="shared" si="378"/>
        <v>14926</v>
      </c>
      <c r="CY189" s="134">
        <f>CX189*$C$57</f>
        <v>0</v>
      </c>
      <c r="CZ189" s="142">
        <f t="shared" si="379"/>
        <v>58596</v>
      </c>
      <c r="DA189" s="143">
        <f>CZ189*$C$57</f>
        <v>0</v>
      </c>
      <c r="DB189" s="165">
        <f t="shared" si="380"/>
        <v>265566.83198952145</v>
      </c>
      <c r="DC189" s="140">
        <f t="shared" si="381"/>
        <v>0.42</v>
      </c>
      <c r="DD189" s="121" t="str">
        <f>IF($C$50="NEIN","NEIN",IF(DF189&lt;DE189,"JA","NEIN"))</f>
        <v>NEIN</v>
      </c>
      <c r="DE189" s="121">
        <f>DB189*$C$46</f>
        <v>70043.251937236273</v>
      </c>
      <c r="DF189" s="121">
        <f t="shared" si="382"/>
        <v>102270.53943559901</v>
      </c>
      <c r="DG189" s="201">
        <f>IF($C$50="NEIN",DE189,IF(DD189="NEIN",DE189,DF189))</f>
        <v>70043.251937236273</v>
      </c>
      <c r="DH189" s="97"/>
      <c r="DI189" s="125"/>
      <c r="DN189" s="75"/>
    </row>
    <row r="190" spans="2:206" ht="15.75" x14ac:dyDescent="0.5">
      <c r="B190" s="333"/>
      <c r="C190" s="75"/>
      <c r="D190" s="75"/>
      <c r="F190" s="75"/>
      <c r="G190" s="75"/>
      <c r="H190" s="75"/>
      <c r="I190" s="75"/>
      <c r="J190" s="75"/>
      <c r="K190" s="75"/>
      <c r="L190" s="75"/>
      <c r="M190" s="75"/>
      <c r="O190" s="75"/>
      <c r="P190" s="75"/>
      <c r="Q190" s="75"/>
      <c r="R190" s="75"/>
      <c r="S190" s="290"/>
      <c r="T190" s="291"/>
      <c r="U190" s="291"/>
      <c r="V190" s="292"/>
      <c r="W190" s="292"/>
      <c r="AB190" s="117">
        <f t="shared" si="207"/>
        <v>138</v>
      </c>
      <c r="AC190" s="117">
        <f t="shared" si="208"/>
        <v>2131</v>
      </c>
      <c r="AD190" s="299">
        <f>IF($C$20="NEIN",$C$21,IF($C$22="JA",'HISTORISCHE RENDITEN'!E114,'HISTORISCHE RENDITEN'!D114))</f>
        <v>1.77E-2</v>
      </c>
      <c r="AE190" s="129">
        <f t="shared" si="278"/>
        <v>138</v>
      </c>
      <c r="AF190" s="120">
        <f t="shared" si="340"/>
        <v>2131</v>
      </c>
      <c r="AG190" s="122">
        <f t="shared" si="341"/>
        <v>0</v>
      </c>
      <c r="AH190" s="124">
        <f t="shared" si="342"/>
        <v>430891.77838569693</v>
      </c>
      <c r="AI190" s="296">
        <f t="shared" si="343"/>
        <v>-25009757.253827386</v>
      </c>
      <c r="AJ190" s="123">
        <f t="shared" si="233"/>
        <v>0</v>
      </c>
      <c r="AK190" s="124">
        <f t="shared" si="344"/>
        <v>-25452429.957220133</v>
      </c>
      <c r="AL190" s="122">
        <f t="shared" si="345"/>
        <v>-442672.70339274779</v>
      </c>
      <c r="AM190" s="122" t="b">
        <f>IF($C$25="Ausschütter",0,IF(AL190&gt;=0,(AI190+AJ190)*$C$48*0.7))</f>
        <v>0</v>
      </c>
      <c r="AN190" s="122">
        <f t="shared" si="323"/>
        <v>0</v>
      </c>
      <c r="AO190" s="122">
        <f t="shared" si="212"/>
        <v>0</v>
      </c>
      <c r="AP190" s="122">
        <f t="shared" si="346"/>
        <v>-18866.221048522573</v>
      </c>
      <c r="AQ190" s="122">
        <f>IF($C$25="AUSSCHÜTTER",0,IF(AO190*$C$46*$C$49&lt;=$C$47,0,AO190*$C$46*$C$49))</f>
        <v>0</v>
      </c>
      <c r="AR190" s="122">
        <f>IF(AO189*$C$49&gt;$C$47,(AN190)*$C$49*$C$46,IF((AO189+AN190)*$C$49&gt;$C$47,((AO189+AN190)*$C$49-$C$47)*$C$46,0))</f>
        <v>0</v>
      </c>
      <c r="AS190" s="122">
        <f t="shared" si="347"/>
        <v>0</v>
      </c>
      <c r="AT190" s="122">
        <f t="shared" si="348"/>
        <v>430891.77838569693</v>
      </c>
      <c r="AU190" s="122">
        <f t="shared" si="349"/>
        <v>0</v>
      </c>
      <c r="AV190" s="122">
        <f t="shared" si="350"/>
        <v>-25452429.957220133</v>
      </c>
      <c r="AW190" s="122">
        <f t="shared" si="335"/>
        <v>0</v>
      </c>
      <c r="AX190" s="130">
        <f t="shared" si="336"/>
        <v>0</v>
      </c>
      <c r="AY190" s="82">
        <f>IF(AF190&lt;$C$11,$C$15*(1+$C$19)^(AF190-$C$10),0)</f>
        <v>0</v>
      </c>
      <c r="AZ190" s="82">
        <f>$C$14*(1+$C$37)^(AF190-$C$10)</f>
        <v>272206.00278925942</v>
      </c>
      <c r="BA190" s="165">
        <f>IF(AF190&lt;$C$11,0,MAX($C$38*AI190,AZ190))</f>
        <v>272206.00278925942</v>
      </c>
      <c r="BB190" s="82">
        <f>IF(AF190&lt;$C$11,0,MAX($C$38*AI190,AZ190))</f>
        <v>272206.00278925942</v>
      </c>
      <c r="BC190" s="136">
        <f>IF($C$39="JA",CT190,DG190)</f>
        <v>71794.333235667174</v>
      </c>
      <c r="BD190" s="82">
        <f t="shared" si="324"/>
        <v>0</v>
      </c>
      <c r="BE190" s="82">
        <f>IF(AF190&lt;($C$8+$C$30),0,$C$29*12*(1-$C$31))</f>
        <v>0</v>
      </c>
      <c r="BF190" s="82">
        <f>IF(AF190&lt;($C$8+$C$34),0,$C$33*12*(1-$C$35))</f>
        <v>0</v>
      </c>
      <c r="BG190" s="82">
        <f>IF(AF190&lt;$C$11,0,IF(AI190&lt;0,$C$42*(1+$C$44)^(AF190-$C$10),IF(((AL190+BE190+BF190)*$C$41)&lt;$C$42*(1+$C$44)^(AF190-$C$10),$C$42*(1+$C$44)^(AF190-$C$10),IF(((AL190+BE190+BF190)*$C$41)&lt;$C$43*(1+$C$44)^(AF190-$C$10),(AL190+BE190+BF190)*$C$41,IF(((AL190+BE190+BF190+BB190)*$C$41)&lt;$C$43*(1+$C$44)^(AF190-$C$10),((AL190+BE190+BF190+BB190)*$C$41),$C$43*(1+$C$44)^(AF190-$C$10))))))</f>
        <v>12344.567795157714</v>
      </c>
      <c r="BH190" s="82">
        <f t="shared" si="238"/>
        <v>356344.90382008429</v>
      </c>
      <c r="BI190" s="242">
        <f t="shared" si="351"/>
        <v>-25452429.957220133</v>
      </c>
      <c r="BJ190" s="217">
        <f t="shared" si="352"/>
        <v>-25808774.861040216</v>
      </c>
      <c r="BK190" s="118"/>
      <c r="BL190" s="219">
        <f t="shared" si="353"/>
        <v>94</v>
      </c>
      <c r="BM190" s="220">
        <f t="shared" si="354"/>
        <v>111</v>
      </c>
      <c r="BN190" s="220">
        <f t="shared" si="355"/>
        <v>0</v>
      </c>
      <c r="BO190" s="221">
        <f t="shared" si="356"/>
        <v>0</v>
      </c>
      <c r="BP190" s="221">
        <f t="shared" si="357"/>
        <v>0</v>
      </c>
      <c r="BQ190" s="222">
        <f t="shared" si="358"/>
        <v>0</v>
      </c>
      <c r="BR190" s="223">
        <f>IF(BM190&lt;$C$11-$C$10+1,0,IF(BL190&lt;=$C$13,VLOOKUP(BL190,$BN$80:$BQ$156,2,FALSE)-BS190,0))</f>
        <v>0</v>
      </c>
      <c r="BS190" s="223">
        <f>IF(BM190&lt;$C$11-$C$10+1,0,IF(BL190&lt;=$C$13,VLOOKUP(BL190,$BN$80:$BQ$156,3,FALSE),0))</f>
        <v>0</v>
      </c>
      <c r="BT190" s="222">
        <f>IF(BM190&lt;$C$11-$C$10+1,0,IF(BL190&lt;=$C$13,VLOOKUP(BL190,$BN$80:$BQ$156,4,FALSE),0))</f>
        <v>0</v>
      </c>
      <c r="BU190" s="223">
        <f t="shared" si="359"/>
        <v>0</v>
      </c>
      <c r="BV190" s="223">
        <f t="shared" si="360"/>
        <v>0</v>
      </c>
      <c r="BW190" s="223">
        <f t="shared" si="361"/>
        <v>0</v>
      </c>
      <c r="BX190" s="223">
        <f>IF(AND(BS190&lt;=0,BN190=0),MIN((MAX($BZ$80:$BZ$156)-SUM($BX$80:BX189)),CA190),IF(BS190&lt;CA190,BS190,CA190))</f>
        <v>0</v>
      </c>
      <c r="BY190" s="222">
        <f>IF(BN190&gt;0,0,IF(AND(BN190=0,BT190&lt;=0),100%,((BW189*(AVERAGE($BT$80:BT189))+(BR190*BT190))/(BR190+BW189+BS190+BV189))))</f>
        <v>1</v>
      </c>
      <c r="BZ190" s="139">
        <f t="shared" si="362"/>
        <v>430891.77838569693</v>
      </c>
      <c r="CA190" s="122">
        <f t="shared" si="363"/>
        <v>272206.00278925942</v>
      </c>
      <c r="CB190" s="181">
        <f t="shared" si="364"/>
        <v>1</v>
      </c>
      <c r="CC190" s="122">
        <f t="shared" si="365"/>
        <v>10252688.663782289</v>
      </c>
      <c r="CD190" s="182">
        <f t="shared" si="366"/>
        <v>0</v>
      </c>
      <c r="CE190" s="122">
        <f t="shared" si="367"/>
        <v>430891.77838569693</v>
      </c>
      <c r="CF190" s="122">
        <f t="shared" si="368"/>
        <v>0</v>
      </c>
      <c r="CG190" s="122" t="str">
        <f t="shared" si="369"/>
        <v/>
      </c>
      <c r="CH190" s="140">
        <f t="shared" si="370"/>
        <v>1</v>
      </c>
      <c r="CI190" s="142">
        <f t="shared" si="371"/>
        <v>9984</v>
      </c>
      <c r="CJ190" s="134">
        <f>CI190*$C$57</f>
        <v>0</v>
      </c>
      <c r="CK190" s="142">
        <f t="shared" si="372"/>
        <v>14926</v>
      </c>
      <c r="CL190" s="134">
        <f>CK190*$C$57</f>
        <v>0</v>
      </c>
      <c r="CM190" s="142">
        <f t="shared" si="373"/>
        <v>58596</v>
      </c>
      <c r="CN190" s="134">
        <f>CM190*$C$57</f>
        <v>0</v>
      </c>
      <c r="CO190" s="132">
        <f t="shared" si="374"/>
        <v>272206.00278925942</v>
      </c>
      <c r="CP190" s="140">
        <f t="shared" si="375"/>
        <v>0.42</v>
      </c>
      <c r="CQ190" s="121" t="str">
        <f>IF($C$50="NEIN","NEIN",IF(CS190&lt;CR190,"JA","NEIN"))</f>
        <v>NEIN</v>
      </c>
      <c r="CR190" s="121">
        <f>CO190*$C$46</f>
        <v>71794.333235667174</v>
      </c>
      <c r="CS190" s="121">
        <f t="shared" si="376"/>
        <v>105058.99117148896</v>
      </c>
      <c r="CT190" s="201">
        <f>IF($C$50="NEIN",CR190,IF(CQ190="NEIN",CR190,CS190))</f>
        <v>71794.333235667174</v>
      </c>
      <c r="CU190" s="149"/>
      <c r="CV190" s="202">
        <f t="shared" si="377"/>
        <v>9984</v>
      </c>
      <c r="CW190" s="134">
        <f>CV190*$C$57</f>
        <v>0</v>
      </c>
      <c r="CX190" s="142">
        <f t="shared" si="378"/>
        <v>14926</v>
      </c>
      <c r="CY190" s="134">
        <f>CX190*$C$57</f>
        <v>0</v>
      </c>
      <c r="CZ190" s="142">
        <f t="shared" si="379"/>
        <v>58596</v>
      </c>
      <c r="DA190" s="143">
        <f>CZ190*$C$57</f>
        <v>0</v>
      </c>
      <c r="DB190" s="165">
        <f t="shared" si="380"/>
        <v>272206.00278925942</v>
      </c>
      <c r="DC190" s="140">
        <f t="shared" si="381"/>
        <v>0.42</v>
      </c>
      <c r="DD190" s="121" t="str">
        <f>IF($C$50="NEIN","NEIN",IF(DF190&lt;DE190,"JA","NEIN"))</f>
        <v>NEIN</v>
      </c>
      <c r="DE190" s="121">
        <f>DB190*$C$46</f>
        <v>71794.333235667174</v>
      </c>
      <c r="DF190" s="121">
        <f t="shared" si="382"/>
        <v>105058.99117148896</v>
      </c>
      <c r="DG190" s="201">
        <f>IF($C$50="NEIN",DE190,IF(DD190="NEIN",DE190,DF190))</f>
        <v>71794.333235667174</v>
      </c>
      <c r="DH190" s="97"/>
      <c r="DI190" s="125"/>
      <c r="DN190" s="75"/>
    </row>
    <row r="191" spans="2:206" ht="15.75" x14ac:dyDescent="0.5">
      <c r="B191" s="333"/>
      <c r="C191" s="75"/>
      <c r="D191" s="75"/>
      <c r="F191" s="75"/>
      <c r="G191" s="75"/>
      <c r="H191" s="75"/>
      <c r="I191" s="75"/>
      <c r="J191" s="75"/>
      <c r="K191" s="75"/>
      <c r="L191" s="75"/>
      <c r="M191" s="75"/>
      <c r="O191" s="75"/>
      <c r="P191" s="75"/>
      <c r="Q191" s="75"/>
      <c r="R191" s="75"/>
      <c r="S191" s="290"/>
      <c r="T191" s="291"/>
      <c r="U191" s="291"/>
      <c r="V191" s="292"/>
      <c r="W191" s="292"/>
      <c r="AB191" s="117">
        <f t="shared" si="207"/>
        <v>139</v>
      </c>
      <c r="AC191" s="117">
        <f t="shared" si="208"/>
        <v>2132</v>
      </c>
      <c r="AD191" s="299">
        <f>IF($C$20="NEIN",$C$21,IF($C$22="JA",'HISTORISCHE RENDITEN'!E115,'HISTORISCHE RENDITEN'!D115))</f>
        <v>0.37020000000000003</v>
      </c>
      <c r="AE191" s="129">
        <f t="shared" si="278"/>
        <v>139</v>
      </c>
      <c r="AF191" s="120">
        <f t="shared" si="340"/>
        <v>2132</v>
      </c>
      <c r="AG191" s="122">
        <f t="shared" si="341"/>
        <v>0</v>
      </c>
      <c r="AH191" s="124">
        <f t="shared" si="342"/>
        <v>430891.77838569693</v>
      </c>
      <c r="AI191" s="296">
        <f t="shared" si="343"/>
        <v>-25808774.861040216</v>
      </c>
      <c r="AJ191" s="123">
        <f t="shared" si="233"/>
        <v>0</v>
      </c>
      <c r="AK191" s="124">
        <f t="shared" si="344"/>
        <v>-35363183.314597309</v>
      </c>
      <c r="AL191" s="122">
        <f t="shared" si="345"/>
        <v>-9554408.4535570927</v>
      </c>
      <c r="AM191" s="122" t="b">
        <f>IF($C$25="Ausschütter",0,IF(AL191&gt;=0,(AI191+AJ191)*$C$48*0.7))</f>
        <v>0</v>
      </c>
      <c r="AN191" s="122">
        <f t="shared" si="323"/>
        <v>0</v>
      </c>
      <c r="AO191" s="122">
        <f t="shared" si="212"/>
        <v>0</v>
      </c>
      <c r="AP191" s="122">
        <f t="shared" si="346"/>
        <v>-18866.221048522573</v>
      </c>
      <c r="AQ191" s="122">
        <f>IF($C$25="AUSSCHÜTTER",0,IF(AO191*$C$46*$C$49&lt;=$C$47,0,AO191*$C$46*$C$49))</f>
        <v>0</v>
      </c>
      <c r="AR191" s="122">
        <f>IF(AO190*$C$49&gt;$C$47,(AN191)*$C$49*$C$46,IF((AO190+AN191)*$C$49&gt;$C$47,((AO190+AN191)*$C$49-$C$47)*$C$46,0))</f>
        <v>0</v>
      </c>
      <c r="AS191" s="122">
        <f t="shared" si="347"/>
        <v>0</v>
      </c>
      <c r="AT191" s="122">
        <f t="shared" si="348"/>
        <v>430891.77838569693</v>
      </c>
      <c r="AU191" s="122">
        <f t="shared" si="349"/>
        <v>0</v>
      </c>
      <c r="AV191" s="122">
        <f t="shared" si="350"/>
        <v>-35363183.314597309</v>
      </c>
      <c r="AW191" s="122">
        <f t="shared" si="335"/>
        <v>0</v>
      </c>
      <c r="AX191" s="130">
        <f t="shared" si="336"/>
        <v>0</v>
      </c>
      <c r="AY191" s="82">
        <f>IF(AF191&lt;$C$11,$C$15*(1+$C$19)^(AF191-$C$10),0)</f>
        <v>0</v>
      </c>
      <c r="AZ191" s="82">
        <f>$C$14*(1+$C$37)^(AF191-$C$10)</f>
        <v>279011.15285899094</v>
      </c>
      <c r="BA191" s="165">
        <f>IF(AF191&lt;$C$11,0,MAX($C$38*AI191,AZ191))</f>
        <v>279011.15285899094</v>
      </c>
      <c r="BB191" s="82">
        <f>IF(AF191&lt;$C$11,0,MAX($C$38*AI191,AZ191))</f>
        <v>279011.15285899094</v>
      </c>
      <c r="BC191" s="136">
        <f>IF($C$39="JA",CT191,DG191)</f>
        <v>73589.19156655886</v>
      </c>
      <c r="BD191" s="82">
        <f t="shared" si="324"/>
        <v>0</v>
      </c>
      <c r="BE191" s="82">
        <f>IF(AF191&lt;($C$8+$C$30),0,$C$29*12*(1-$C$31))</f>
        <v>0</v>
      </c>
      <c r="BF191" s="82">
        <f>IF(AF191&lt;($C$8+$C$34),0,$C$33*12*(1-$C$35))</f>
        <v>0</v>
      </c>
      <c r="BG191" s="82">
        <f>IF(AF191&lt;$C$11,0,IF(AI191&lt;0,$C$42*(1+$C$44)^(AF191-$C$10),IF(((AL191+BE191+BF191)*$C$41)&lt;$C$42*(1+$C$44)^(AF191-$C$10),$C$42*(1+$C$44)^(AF191-$C$10),IF(((AL191+BE191+BF191)*$C$41)&lt;$C$43*(1+$C$44)^(AF191-$C$10),(AL191+BE191+BF191)*$C$41,IF(((AL191+BE191+BF191+BB191)*$C$41)&lt;$C$43*(1+$C$44)^(AF191-$C$10),((AL191+BE191+BF191+BB191)*$C$41),$C$43*(1+$C$44)^(AF191-$C$10))))))</f>
        <v>12529.736312085079</v>
      </c>
      <c r="BH191" s="82">
        <f t="shared" si="238"/>
        <v>365130.08073763491</v>
      </c>
      <c r="BI191" s="242">
        <f t="shared" si="351"/>
        <v>-35363183.314597309</v>
      </c>
      <c r="BJ191" s="217">
        <f t="shared" si="352"/>
        <v>-35728313.395334944</v>
      </c>
      <c r="BK191" s="118"/>
      <c r="BL191" s="219">
        <f t="shared" si="353"/>
        <v>95</v>
      </c>
      <c r="BM191" s="220">
        <f t="shared" si="354"/>
        <v>112</v>
      </c>
      <c r="BN191" s="220">
        <f t="shared" si="355"/>
        <v>0</v>
      </c>
      <c r="BO191" s="221">
        <f t="shared" si="356"/>
        <v>0</v>
      </c>
      <c r="BP191" s="221">
        <f t="shared" si="357"/>
        <v>0</v>
      </c>
      <c r="BQ191" s="222">
        <f t="shared" si="358"/>
        <v>0</v>
      </c>
      <c r="BR191" s="223">
        <f>IF(BM191&lt;$C$11-$C$10+1,0,IF(BL191&lt;=$C$13,VLOOKUP(BL191,$BN$80:$BQ$156,2,FALSE)-BS191,0))</f>
        <v>0</v>
      </c>
      <c r="BS191" s="223">
        <f>IF(BM191&lt;$C$11-$C$10+1,0,IF(BL191&lt;=$C$13,VLOOKUP(BL191,$BN$80:$BQ$156,3,FALSE),0))</f>
        <v>0</v>
      </c>
      <c r="BT191" s="222">
        <f>IF(BM191&lt;$C$11-$C$10+1,0,IF(BL191&lt;=$C$13,VLOOKUP(BL191,$BN$80:$BQ$156,4,FALSE),0))</f>
        <v>0</v>
      </c>
      <c r="BU191" s="223">
        <f t="shared" si="359"/>
        <v>0</v>
      </c>
      <c r="BV191" s="223">
        <f t="shared" si="360"/>
        <v>0</v>
      </c>
      <c r="BW191" s="223">
        <f t="shared" si="361"/>
        <v>0</v>
      </c>
      <c r="BX191" s="223">
        <f>IF(AND(BS191&lt;=0,BN191=0),MIN((MAX($BZ$80:$BZ$156)-SUM($BX$80:BX190)),CA191),IF(BS191&lt;CA191,BS191,CA191))</f>
        <v>0</v>
      </c>
      <c r="BY191" s="222">
        <f>IF(BN191&gt;0,0,IF(AND(BN191=0,BT191&lt;=0),100%,((BW190*(AVERAGE($BT$80:BT190))+(BR191*BT191))/(BR191+BW190+BS191+BV190))))</f>
        <v>1</v>
      </c>
      <c r="BZ191" s="139">
        <f t="shared" si="362"/>
        <v>430891.77838569693</v>
      </c>
      <c r="CA191" s="122">
        <f t="shared" si="363"/>
        <v>279011.15285899094</v>
      </c>
      <c r="CB191" s="181">
        <f t="shared" si="364"/>
        <v>1</v>
      </c>
      <c r="CC191" s="122">
        <f t="shared" si="365"/>
        <v>10531699.81664128</v>
      </c>
      <c r="CD191" s="182">
        <f t="shared" si="366"/>
        <v>0</v>
      </c>
      <c r="CE191" s="122">
        <f t="shared" si="367"/>
        <v>430891.77838569693</v>
      </c>
      <c r="CF191" s="122">
        <f t="shared" si="368"/>
        <v>0</v>
      </c>
      <c r="CG191" s="122" t="str">
        <f t="shared" si="369"/>
        <v/>
      </c>
      <c r="CH191" s="140">
        <f t="shared" si="370"/>
        <v>1</v>
      </c>
      <c r="CI191" s="142">
        <f t="shared" si="371"/>
        <v>9984</v>
      </c>
      <c r="CJ191" s="134">
        <f>CI191*$C$57</f>
        <v>0</v>
      </c>
      <c r="CK191" s="142">
        <f t="shared" si="372"/>
        <v>14926</v>
      </c>
      <c r="CL191" s="134">
        <f>CK191*$C$57</f>
        <v>0</v>
      </c>
      <c r="CM191" s="142">
        <f t="shared" si="373"/>
        <v>58596</v>
      </c>
      <c r="CN191" s="134">
        <f>CM191*$C$57</f>
        <v>0</v>
      </c>
      <c r="CO191" s="132">
        <f t="shared" si="374"/>
        <v>279011.15285899094</v>
      </c>
      <c r="CP191" s="140">
        <f t="shared" si="375"/>
        <v>0.42</v>
      </c>
      <c r="CQ191" s="121" t="str">
        <f>IF($C$50="NEIN","NEIN",IF(CS191&lt;CR191,"JA","NEIN"))</f>
        <v>NEIN</v>
      </c>
      <c r="CR191" s="121">
        <f>CO191*$C$46</f>
        <v>73589.19156655886</v>
      </c>
      <c r="CS191" s="121">
        <f t="shared" si="376"/>
        <v>107917.15420077619</v>
      </c>
      <c r="CT191" s="201">
        <f>IF($C$50="NEIN",CR191,IF(CQ191="NEIN",CR191,CS191))</f>
        <v>73589.19156655886</v>
      </c>
      <c r="CU191" s="149"/>
      <c r="CV191" s="202">
        <f t="shared" si="377"/>
        <v>9984</v>
      </c>
      <c r="CW191" s="134">
        <f>CV191*$C$57</f>
        <v>0</v>
      </c>
      <c r="CX191" s="142">
        <f t="shared" si="378"/>
        <v>14926</v>
      </c>
      <c r="CY191" s="134">
        <f>CX191*$C$57</f>
        <v>0</v>
      </c>
      <c r="CZ191" s="142">
        <f t="shared" si="379"/>
        <v>58596</v>
      </c>
      <c r="DA191" s="143">
        <f>CZ191*$C$57</f>
        <v>0</v>
      </c>
      <c r="DB191" s="165">
        <f t="shared" si="380"/>
        <v>279011.15285899094</v>
      </c>
      <c r="DC191" s="140">
        <f t="shared" si="381"/>
        <v>0.42</v>
      </c>
      <c r="DD191" s="121" t="str">
        <f>IF($C$50="NEIN","NEIN",IF(DF191&lt;DE191,"JA","NEIN"))</f>
        <v>NEIN</v>
      </c>
      <c r="DE191" s="121">
        <f>DB191*$C$46</f>
        <v>73589.19156655886</v>
      </c>
      <c r="DF191" s="121">
        <f t="shared" si="382"/>
        <v>107917.15420077619</v>
      </c>
      <c r="DG191" s="201">
        <f>IF($C$50="NEIN",DE191,IF(DD191="NEIN",DE191,DF191))</f>
        <v>73589.19156655886</v>
      </c>
    </row>
    <row r="192" spans="2:206" ht="15.75" x14ac:dyDescent="0.5">
      <c r="B192" s="333"/>
      <c r="C192" s="75"/>
      <c r="D192" s="75"/>
      <c r="F192" s="75"/>
      <c r="G192" s="75"/>
      <c r="H192" s="75"/>
      <c r="I192" s="75"/>
      <c r="J192" s="75"/>
      <c r="K192" s="75"/>
      <c r="L192" s="75"/>
      <c r="M192" s="75"/>
      <c r="O192" s="75"/>
      <c r="P192" s="75"/>
      <c r="Q192" s="75"/>
      <c r="R192" s="75"/>
      <c r="S192" s="290"/>
      <c r="T192" s="291"/>
      <c r="U192" s="291"/>
      <c r="V192" s="292"/>
      <c r="W192" s="292"/>
      <c r="AB192" s="117">
        <f t="shared" si="207"/>
        <v>140</v>
      </c>
      <c r="AC192" s="117">
        <f t="shared" si="208"/>
        <v>2133</v>
      </c>
      <c r="AD192" s="299">
        <f>IF($C$20="NEIN",$C$21,IF($C$22="JA",'HISTORISCHE RENDITEN'!E116,'HISTORISCHE RENDITEN'!D116))</f>
        <v>0.3911</v>
      </c>
      <c r="AE192" s="129">
        <f t="shared" si="278"/>
        <v>140</v>
      </c>
      <c r="AF192" s="120">
        <f t="shared" si="340"/>
        <v>2133</v>
      </c>
      <c r="AG192" s="122">
        <f t="shared" si="341"/>
        <v>0</v>
      </c>
      <c r="AH192" s="124">
        <f t="shared" si="342"/>
        <v>430891.77838569693</v>
      </c>
      <c r="AI192" s="296">
        <f t="shared" si="343"/>
        <v>-35728313.395334944</v>
      </c>
      <c r="AJ192" s="123">
        <f t="shared" si="233"/>
        <v>0</v>
      </c>
      <c r="AK192" s="124">
        <f t="shared" si="344"/>
        <v>-49701656.764250442</v>
      </c>
      <c r="AL192" s="122">
        <f t="shared" si="345"/>
        <v>-13973343.368915498</v>
      </c>
      <c r="AM192" s="122" t="b">
        <f>IF($C$25="Ausschütter",0,IF(AL192&gt;=0,(AI192+AJ192)*$C$48*0.7))</f>
        <v>0</v>
      </c>
      <c r="AN192" s="122">
        <f t="shared" si="323"/>
        <v>0</v>
      </c>
      <c r="AO192" s="122">
        <f t="shared" si="212"/>
        <v>0</v>
      </c>
      <c r="AP192" s="122">
        <f t="shared" si="346"/>
        <v>-18866.221048522573</v>
      </c>
      <c r="AQ192" s="122">
        <f>IF($C$25="AUSSCHÜTTER",0,IF(AO192*$C$46*$C$49&lt;=$C$47,0,AO192*$C$46*$C$49))</f>
        <v>0</v>
      </c>
      <c r="AR192" s="122">
        <f>IF(AO191*$C$49&gt;$C$47,(AN192)*$C$49*$C$46,IF((AO191+AN192)*$C$49&gt;$C$47,((AO191+AN192)*$C$49-$C$47)*$C$46,0))</f>
        <v>0</v>
      </c>
      <c r="AS192" s="122">
        <f t="shared" si="347"/>
        <v>0</v>
      </c>
      <c r="AT192" s="122">
        <f t="shared" si="348"/>
        <v>430891.77838569693</v>
      </c>
      <c r="AU192" s="122">
        <f t="shared" si="349"/>
        <v>0</v>
      </c>
      <c r="AV192" s="122">
        <f t="shared" si="350"/>
        <v>-49701656.764250442</v>
      </c>
      <c r="AW192" s="122">
        <f t="shared" si="335"/>
        <v>0</v>
      </c>
      <c r="AX192" s="130">
        <f t="shared" si="336"/>
        <v>0</v>
      </c>
      <c r="AY192" s="82">
        <f>IF(AF192&lt;$C$11,$C$15*(1+$C$19)^(AF192-$C$10),0)</f>
        <v>0</v>
      </c>
      <c r="AZ192" s="82">
        <f>$C$14*(1+$C$37)^(AF192-$C$10)</f>
        <v>285986.4316804657</v>
      </c>
      <c r="BA192" s="165">
        <f>IF(AF192&lt;$C$11,0,MAX($C$38*AI192,AZ192))</f>
        <v>285986.4316804657</v>
      </c>
      <c r="BB192" s="82">
        <f>IF(AF192&lt;$C$11,0,MAX($C$38*AI192,AZ192))</f>
        <v>285986.4316804657</v>
      </c>
      <c r="BC192" s="136">
        <f>IF($C$39="JA",CT192,DG192)</f>
        <v>75428.921355722821</v>
      </c>
      <c r="BD192" s="82">
        <f t="shared" si="324"/>
        <v>0</v>
      </c>
      <c r="BE192" s="82">
        <f>IF(AF192&lt;($C$8+$C$30),0,$C$29*12*(1-$C$31))</f>
        <v>0</v>
      </c>
      <c r="BF192" s="82">
        <f>IF(AF192&lt;($C$8+$C$34),0,$C$33*12*(1-$C$35))</f>
        <v>0</v>
      </c>
      <c r="BG192" s="82">
        <f>IF(AF192&lt;$C$11,0,IF(AI192&lt;0,$C$42*(1+$C$44)^(AF192-$C$10),IF(((AL192+BE192+BF192)*$C$41)&lt;$C$42*(1+$C$44)^(AF192-$C$10),$C$42*(1+$C$44)^(AF192-$C$10),IF(((AL192+BE192+BF192)*$C$41)&lt;$C$43*(1+$C$44)^(AF192-$C$10),(AL192+BE192+BF192)*$C$41,IF(((AL192+BE192+BF192+BB192)*$C$41)&lt;$C$43*(1+$C$44)^(AF192-$C$10),((AL192+BE192+BF192+BB192)*$C$41),$C$43*(1+$C$44)^(AF192-$C$10))))))</f>
        <v>12717.682356766352</v>
      </c>
      <c r="BH192" s="82">
        <f t="shared" si="238"/>
        <v>374133.03539295489</v>
      </c>
      <c r="BI192" s="242">
        <f t="shared" si="351"/>
        <v>-49701656.764250442</v>
      </c>
      <c r="BJ192" s="217">
        <f t="shared" si="352"/>
        <v>-50075789.799643397</v>
      </c>
      <c r="BK192" s="118"/>
      <c r="BL192" s="219">
        <f t="shared" si="353"/>
        <v>96</v>
      </c>
      <c r="BM192" s="220">
        <f t="shared" si="354"/>
        <v>113</v>
      </c>
      <c r="BN192" s="220">
        <f t="shared" si="355"/>
        <v>0</v>
      </c>
      <c r="BO192" s="221">
        <f t="shared" si="356"/>
        <v>0</v>
      </c>
      <c r="BP192" s="221">
        <f t="shared" si="357"/>
        <v>0</v>
      </c>
      <c r="BQ192" s="222">
        <f t="shared" si="358"/>
        <v>0</v>
      </c>
      <c r="BR192" s="223">
        <f>IF(BM192&lt;$C$11-$C$10+1,0,IF(BL192&lt;=$C$13,VLOOKUP(BL192,$BN$80:$BQ$156,2,FALSE)-BS192,0))</f>
        <v>0</v>
      </c>
      <c r="BS192" s="223">
        <f>IF(BM192&lt;$C$11-$C$10+1,0,IF(BL192&lt;=$C$13,VLOOKUP(BL192,$BN$80:$BQ$156,3,FALSE),0))</f>
        <v>0</v>
      </c>
      <c r="BT192" s="222">
        <f>IF(BM192&lt;$C$11-$C$10+1,0,IF(BL192&lt;=$C$13,VLOOKUP(BL192,$BN$80:$BQ$156,4,FALSE),0))</f>
        <v>0</v>
      </c>
      <c r="BU192" s="223">
        <f t="shared" si="359"/>
        <v>0</v>
      </c>
      <c r="BV192" s="223">
        <f t="shared" si="360"/>
        <v>0</v>
      </c>
      <c r="BW192" s="223">
        <f t="shared" si="361"/>
        <v>0</v>
      </c>
      <c r="BX192" s="223">
        <f>IF(AND(BS192&lt;=0,BN192=0),MIN((MAX($BZ$80:$BZ$156)-SUM($BX$80:BX191)),CA192),IF(BS192&lt;CA192,BS192,CA192))</f>
        <v>0</v>
      </c>
      <c r="BY192" s="222">
        <f>IF(BN192&gt;0,0,IF(AND(BN192=0,BT192&lt;=0),100%,((BW191*(AVERAGE($BT$80:BT191))+(BR192*BT192))/(BR192+BW191+BS192+BV191))))</f>
        <v>1</v>
      </c>
      <c r="BZ192" s="139">
        <f t="shared" si="362"/>
        <v>430891.77838569693</v>
      </c>
      <c r="CA192" s="122">
        <f t="shared" si="363"/>
        <v>285986.4316804657</v>
      </c>
      <c r="CB192" s="181">
        <f t="shared" si="364"/>
        <v>1</v>
      </c>
      <c r="CC192" s="122">
        <f t="shared" si="365"/>
        <v>10817686.248321746</v>
      </c>
      <c r="CD192" s="182">
        <f t="shared" si="366"/>
        <v>0</v>
      </c>
      <c r="CE192" s="122">
        <f t="shared" si="367"/>
        <v>430891.77838569693</v>
      </c>
      <c r="CF192" s="122">
        <f t="shared" si="368"/>
        <v>0</v>
      </c>
      <c r="CG192" s="122" t="str">
        <f t="shared" si="369"/>
        <v/>
      </c>
      <c r="CH192" s="140">
        <f t="shared" si="370"/>
        <v>1</v>
      </c>
      <c r="CI192" s="142">
        <f t="shared" si="371"/>
        <v>9984</v>
      </c>
      <c r="CJ192" s="134">
        <f>CI192*$C$57</f>
        <v>0</v>
      </c>
      <c r="CK192" s="142">
        <f t="shared" si="372"/>
        <v>14926</v>
      </c>
      <c r="CL192" s="134">
        <f>CK192*$C$57</f>
        <v>0</v>
      </c>
      <c r="CM192" s="142">
        <f t="shared" si="373"/>
        <v>58596</v>
      </c>
      <c r="CN192" s="134">
        <f>CM192*$C$57</f>
        <v>0</v>
      </c>
      <c r="CO192" s="132">
        <f t="shared" si="374"/>
        <v>285986.4316804657</v>
      </c>
      <c r="CP192" s="140">
        <f t="shared" si="375"/>
        <v>0.42</v>
      </c>
      <c r="CQ192" s="121" t="str">
        <f>IF($C$50="NEIN","NEIN",IF(CS192&lt;CR192,"JA","NEIN"))</f>
        <v>NEIN</v>
      </c>
      <c r="CR192" s="121">
        <f>CO192*$C$46</f>
        <v>75428.921355722821</v>
      </c>
      <c r="CS192" s="121">
        <f t="shared" si="376"/>
        <v>110846.77130579558</v>
      </c>
      <c r="CT192" s="201">
        <f>IF($C$50="NEIN",CR192,IF(CQ192="NEIN",CR192,CS192))</f>
        <v>75428.921355722821</v>
      </c>
      <c r="CU192" s="149"/>
      <c r="CV192" s="202">
        <f t="shared" si="377"/>
        <v>9984</v>
      </c>
      <c r="CW192" s="134">
        <f>CV192*$C$57</f>
        <v>0</v>
      </c>
      <c r="CX192" s="142">
        <f t="shared" si="378"/>
        <v>14926</v>
      </c>
      <c r="CY192" s="134">
        <f>CX192*$C$57</f>
        <v>0</v>
      </c>
      <c r="CZ192" s="142">
        <f t="shared" si="379"/>
        <v>58596</v>
      </c>
      <c r="DA192" s="143">
        <f>CZ192*$C$57</f>
        <v>0</v>
      </c>
      <c r="DB192" s="165">
        <f t="shared" si="380"/>
        <v>285986.4316804657</v>
      </c>
      <c r="DC192" s="140">
        <f t="shared" si="381"/>
        <v>0.42</v>
      </c>
      <c r="DD192" s="121" t="str">
        <f>IF($C$50="NEIN","NEIN",IF(DF192&lt;DE192,"JA","NEIN"))</f>
        <v>NEIN</v>
      </c>
      <c r="DE192" s="121">
        <f>DB192*$C$46</f>
        <v>75428.921355722821</v>
      </c>
      <c r="DF192" s="121">
        <f t="shared" si="382"/>
        <v>110846.77130579558</v>
      </c>
      <c r="DG192" s="201">
        <f>IF($C$50="NEIN",DE192,IF(DD192="NEIN",DE192,DF192))</f>
        <v>75428.921355722821</v>
      </c>
    </row>
    <row r="193" spans="2:111" ht="15.75" x14ac:dyDescent="0.5">
      <c r="B193" s="333"/>
      <c r="C193" s="75"/>
      <c r="D193" s="75"/>
      <c r="F193" s="75"/>
      <c r="G193" s="75"/>
      <c r="H193" s="75"/>
      <c r="I193" s="75"/>
      <c r="J193" s="75"/>
      <c r="K193" s="75"/>
      <c r="L193" s="75"/>
      <c r="M193" s="75"/>
      <c r="O193" s="75"/>
      <c r="P193" s="75"/>
      <c r="Q193" s="75"/>
      <c r="R193" s="75"/>
      <c r="S193" s="290"/>
      <c r="T193" s="291"/>
      <c r="U193" s="291"/>
      <c r="V193" s="292"/>
      <c r="W193" s="292"/>
      <c r="AB193" s="117">
        <f t="shared" si="207"/>
        <v>141</v>
      </c>
      <c r="AC193" s="117">
        <f t="shared" si="208"/>
        <v>2134</v>
      </c>
      <c r="AD193" s="299">
        <f>IF($C$20="NEIN",$C$21,IF($C$22="JA",'HISTORISCHE RENDITEN'!E117,'HISTORISCHE RENDITEN'!D117))</f>
        <v>0.1434</v>
      </c>
      <c r="AE193" s="129">
        <f t="shared" si="278"/>
        <v>141</v>
      </c>
      <c r="AF193" s="120">
        <f t="shared" si="340"/>
        <v>2134</v>
      </c>
      <c r="AG193" s="122">
        <f t="shared" si="341"/>
        <v>0</v>
      </c>
      <c r="AH193" s="124">
        <f t="shared" si="342"/>
        <v>430891.77838569693</v>
      </c>
      <c r="AI193" s="296">
        <f t="shared" si="343"/>
        <v>-50075789.799643397</v>
      </c>
      <c r="AJ193" s="123">
        <f t="shared" si="233"/>
        <v>0</v>
      </c>
      <c r="AK193" s="124">
        <f t="shared" si="344"/>
        <v>-57256658.056912258</v>
      </c>
      <c r="AL193" s="122">
        <f t="shared" si="345"/>
        <v>-7180868.2572688609</v>
      </c>
      <c r="AM193" s="122" t="b">
        <f>IF($C$25="Ausschütter",0,IF(AL193&gt;=0,(AI193+AJ193)*$C$48*0.7))</f>
        <v>0</v>
      </c>
      <c r="AN193" s="122">
        <f t="shared" si="323"/>
        <v>0</v>
      </c>
      <c r="AO193" s="122">
        <f t="shared" si="212"/>
        <v>0</v>
      </c>
      <c r="AP193" s="122">
        <f t="shared" si="346"/>
        <v>-18866.221048522573</v>
      </c>
      <c r="AQ193" s="122">
        <f>IF($C$25="AUSSCHÜTTER",0,IF(AO193*$C$46*$C$49&lt;=$C$47,0,AO193*$C$46*$C$49))</f>
        <v>0</v>
      </c>
      <c r="AR193" s="122">
        <f>IF(AO192*$C$49&gt;$C$47,(AN193)*$C$49*$C$46,IF((AO192+AN193)*$C$49&gt;$C$47,((AO192+AN193)*$C$49-$C$47)*$C$46,0))</f>
        <v>0</v>
      </c>
      <c r="AS193" s="122">
        <f t="shared" si="347"/>
        <v>0</v>
      </c>
      <c r="AT193" s="122">
        <f t="shared" si="348"/>
        <v>430891.77838569693</v>
      </c>
      <c r="AU193" s="122">
        <f t="shared" si="349"/>
        <v>0</v>
      </c>
      <c r="AV193" s="122">
        <f t="shared" si="350"/>
        <v>-57256658.056912258</v>
      </c>
      <c r="AW193" s="122">
        <f t="shared" si="335"/>
        <v>0</v>
      </c>
      <c r="AX193" s="130">
        <f t="shared" si="336"/>
        <v>0</v>
      </c>
      <c r="AY193" s="82">
        <f>IF(AF193&lt;$C$11,$C$15*(1+$C$19)^(AF193-$C$10),0)</f>
        <v>0</v>
      </c>
      <c r="AZ193" s="82">
        <f>$C$14*(1+$C$37)^(AF193-$C$10)</f>
        <v>293136.09247247729</v>
      </c>
      <c r="BA193" s="165">
        <f>IF(AF193&lt;$C$11,0,MAX($C$38*AI193,AZ193))</f>
        <v>293136.09247247729</v>
      </c>
      <c r="BB193" s="82">
        <f>IF(AF193&lt;$C$11,0,MAX($C$38*AI193,AZ193))</f>
        <v>293136.09247247729</v>
      </c>
      <c r="BC193" s="136">
        <f>IF($C$39="JA",CT193,DG193)</f>
        <v>77314.644389615874</v>
      </c>
      <c r="BD193" s="82">
        <f t="shared" si="324"/>
        <v>0</v>
      </c>
      <c r="BE193" s="82">
        <f>IF(AF193&lt;($C$8+$C$30),0,$C$29*12*(1-$C$31))</f>
        <v>0</v>
      </c>
      <c r="BF193" s="82">
        <f>IF(AF193&lt;($C$8+$C$34),0,$C$33*12*(1-$C$35))</f>
        <v>0</v>
      </c>
      <c r="BG193" s="82">
        <f>IF(AF193&lt;$C$11,0,IF(AI193&lt;0,$C$42*(1+$C$44)^(AF193-$C$10),IF(((AL193+BE193+BF193)*$C$41)&lt;$C$42*(1+$C$44)^(AF193-$C$10),$C$42*(1+$C$44)^(AF193-$C$10),IF(((AL193+BE193+BF193)*$C$41)&lt;$C$43*(1+$C$44)^(AF193-$C$10),(AL193+BE193+BF193)*$C$41,IF(((AL193+BE193+BF193+BB193)*$C$41)&lt;$C$43*(1+$C$44)^(AF193-$C$10),((AL193+BE193+BF193+BB193)*$C$41),$C$43*(1+$C$44)^(AF193-$C$10))))))</f>
        <v>12908.447592117845</v>
      </c>
      <c r="BH193" s="82">
        <f t="shared" si="238"/>
        <v>383359.18445421103</v>
      </c>
      <c r="BI193" s="242">
        <f t="shared" si="351"/>
        <v>-57256658.056912258</v>
      </c>
      <c r="BJ193" s="217">
        <f t="shared" si="352"/>
        <v>-57640017.241366468</v>
      </c>
      <c r="BK193" s="118"/>
      <c r="BL193" s="219">
        <f t="shared" si="353"/>
        <v>97</v>
      </c>
      <c r="BM193" s="220">
        <f t="shared" si="354"/>
        <v>114</v>
      </c>
      <c r="BN193" s="220">
        <f t="shared" si="355"/>
        <v>0</v>
      </c>
      <c r="BO193" s="221">
        <f t="shared" si="356"/>
        <v>0</v>
      </c>
      <c r="BP193" s="221">
        <f t="shared" si="357"/>
        <v>0</v>
      </c>
      <c r="BQ193" s="222">
        <f t="shared" si="358"/>
        <v>0</v>
      </c>
      <c r="BR193" s="223">
        <f>IF(BM193&lt;$C$11-$C$10+1,0,IF(BL193&lt;=$C$13,VLOOKUP(BL193,$BN$80:$BQ$156,2,FALSE)-BS193,0))</f>
        <v>0</v>
      </c>
      <c r="BS193" s="223">
        <f>IF(BM193&lt;$C$11-$C$10+1,0,IF(BL193&lt;=$C$13,VLOOKUP(BL193,$BN$80:$BQ$156,3,FALSE),0))</f>
        <v>0</v>
      </c>
      <c r="BT193" s="222">
        <f>IF(BM193&lt;$C$11-$C$10+1,0,IF(BL193&lt;=$C$13,VLOOKUP(BL193,$BN$80:$BQ$156,4,FALSE),0))</f>
        <v>0</v>
      </c>
      <c r="BU193" s="223">
        <f t="shared" si="359"/>
        <v>0</v>
      </c>
      <c r="BV193" s="223">
        <f t="shared" si="360"/>
        <v>0</v>
      </c>
      <c r="BW193" s="223">
        <f t="shared" si="361"/>
        <v>0</v>
      </c>
      <c r="BX193" s="223">
        <f>IF(AND(BS193&lt;=0,BN193=0),MIN((MAX($BZ$80:$BZ$156)-SUM($BX$80:BX192)),CA193),IF(BS193&lt;CA193,BS193,CA193))</f>
        <v>0</v>
      </c>
      <c r="BY193" s="222">
        <f>IF(BN193&gt;0,0,IF(AND(BN193=0,BT193&lt;=0),100%,((BW192*(AVERAGE($BT$80:BT192))+(BR193*BT193))/(BR193+BW192+BS193+BV192))))</f>
        <v>1</v>
      </c>
      <c r="BZ193" s="139">
        <f t="shared" si="362"/>
        <v>430891.77838569693</v>
      </c>
      <c r="CA193" s="122">
        <f t="shared" si="363"/>
        <v>293136.09247247729</v>
      </c>
      <c r="CB193" s="181">
        <f t="shared" si="364"/>
        <v>1</v>
      </c>
      <c r="CC193" s="122">
        <f t="shared" si="365"/>
        <v>11110822.340794222</v>
      </c>
      <c r="CD193" s="182">
        <f t="shared" si="366"/>
        <v>0</v>
      </c>
      <c r="CE193" s="122">
        <f t="shared" si="367"/>
        <v>430891.77838569693</v>
      </c>
      <c r="CF193" s="122">
        <f t="shared" si="368"/>
        <v>0</v>
      </c>
      <c r="CG193" s="122" t="str">
        <f t="shared" si="369"/>
        <v/>
      </c>
      <c r="CH193" s="140">
        <f t="shared" si="370"/>
        <v>1</v>
      </c>
      <c r="CI193" s="142">
        <f t="shared" si="371"/>
        <v>9984</v>
      </c>
      <c r="CJ193" s="134">
        <f>CI193*$C$57</f>
        <v>0</v>
      </c>
      <c r="CK193" s="142">
        <f t="shared" si="372"/>
        <v>14926</v>
      </c>
      <c r="CL193" s="134">
        <f>CK193*$C$57</f>
        <v>0</v>
      </c>
      <c r="CM193" s="142">
        <f t="shared" si="373"/>
        <v>58596</v>
      </c>
      <c r="CN193" s="134">
        <f>CM193*$C$57</f>
        <v>0</v>
      </c>
      <c r="CO193" s="132">
        <f t="shared" si="374"/>
        <v>293136.09247247729</v>
      </c>
      <c r="CP193" s="140">
        <f t="shared" si="375"/>
        <v>0.42</v>
      </c>
      <c r="CQ193" s="121" t="str">
        <f>IF($C$50="NEIN","NEIN",IF(CS193&lt;CR193,"JA","NEIN"))</f>
        <v>NEIN</v>
      </c>
      <c r="CR193" s="121">
        <f>CO193*$C$46</f>
        <v>77314.644389615874</v>
      </c>
      <c r="CS193" s="121">
        <f t="shared" si="376"/>
        <v>113849.62883844046</v>
      </c>
      <c r="CT193" s="201">
        <f>IF($C$50="NEIN",CR193,IF(CQ193="NEIN",CR193,CS193))</f>
        <v>77314.644389615874</v>
      </c>
      <c r="CU193" s="149"/>
      <c r="CV193" s="202">
        <f t="shared" si="377"/>
        <v>9984</v>
      </c>
      <c r="CW193" s="134">
        <f>CV193*$C$57</f>
        <v>0</v>
      </c>
      <c r="CX193" s="142">
        <f t="shared" si="378"/>
        <v>14926</v>
      </c>
      <c r="CY193" s="134">
        <f>CX193*$C$57</f>
        <v>0</v>
      </c>
      <c r="CZ193" s="142">
        <f t="shared" si="379"/>
        <v>58596</v>
      </c>
      <c r="DA193" s="143">
        <f>CZ193*$C$57</f>
        <v>0</v>
      </c>
      <c r="DB193" s="165">
        <f t="shared" si="380"/>
        <v>293136.09247247729</v>
      </c>
      <c r="DC193" s="140">
        <f t="shared" si="381"/>
        <v>0.42</v>
      </c>
      <c r="DD193" s="121" t="str">
        <f>IF($C$50="NEIN","NEIN",IF(DF193&lt;DE193,"JA","NEIN"))</f>
        <v>NEIN</v>
      </c>
      <c r="DE193" s="121">
        <f>DB193*$C$46</f>
        <v>77314.644389615874</v>
      </c>
      <c r="DF193" s="121">
        <f t="shared" si="382"/>
        <v>113849.62883844046</v>
      </c>
      <c r="DG193" s="201">
        <f>IF($C$50="NEIN",DE193,IF(DD193="NEIN",DE193,DF193))</f>
        <v>77314.644389615874</v>
      </c>
    </row>
    <row r="194" spans="2:111" ht="15.75" x14ac:dyDescent="0.5">
      <c r="B194" s="333"/>
      <c r="C194" s="75"/>
      <c r="D194" s="75"/>
      <c r="F194" s="75"/>
      <c r="G194" s="75"/>
      <c r="H194" s="75"/>
      <c r="I194" s="75"/>
      <c r="J194" s="75"/>
      <c r="K194" s="75"/>
      <c r="L194" s="75"/>
      <c r="M194" s="75"/>
      <c r="O194" s="75"/>
      <c r="P194" s="75"/>
      <c r="Q194" s="75"/>
      <c r="R194" s="75"/>
      <c r="S194" s="290"/>
      <c r="T194" s="291"/>
      <c r="U194" s="291"/>
      <c r="V194" s="292"/>
      <c r="W194" s="292"/>
      <c r="AB194" s="117">
        <f t="shared" si="207"/>
        <v>142</v>
      </c>
      <c r="AC194" s="117">
        <f t="shared" si="208"/>
        <v>2135</v>
      </c>
      <c r="AD194" s="299">
        <f>IF($C$20="NEIN",$C$21,IF($C$22="JA",'HISTORISCHE RENDITEN'!E118,'HISTORISCHE RENDITEN'!D118))</f>
        <v>0.21190000000000001</v>
      </c>
      <c r="AE194" s="129">
        <f t="shared" si="278"/>
        <v>142</v>
      </c>
      <c r="AF194" s="120">
        <f t="shared" si="340"/>
        <v>2135</v>
      </c>
      <c r="AG194" s="122">
        <f t="shared" si="341"/>
        <v>0</v>
      </c>
      <c r="AH194" s="124">
        <f t="shared" si="342"/>
        <v>430891.77838569693</v>
      </c>
      <c r="AI194" s="296">
        <f t="shared" si="343"/>
        <v>-57640017.241366468</v>
      </c>
      <c r="AJ194" s="123">
        <f t="shared" si="233"/>
        <v>0</v>
      </c>
      <c r="AK194" s="124">
        <f t="shared" si="344"/>
        <v>-69853936.894812018</v>
      </c>
      <c r="AL194" s="122">
        <f t="shared" si="345"/>
        <v>-12213919.653445549</v>
      </c>
      <c r="AM194" s="122" t="b">
        <f>IF($C$25="Ausschütter",0,IF(AL194&gt;=0,(AI194+AJ194)*$C$48*0.7))</f>
        <v>0</v>
      </c>
      <c r="AN194" s="122">
        <f t="shared" si="323"/>
        <v>0</v>
      </c>
      <c r="AO194" s="122">
        <f t="shared" si="212"/>
        <v>0</v>
      </c>
      <c r="AP194" s="122">
        <f t="shared" si="346"/>
        <v>-18866.221048522573</v>
      </c>
      <c r="AQ194" s="122">
        <f>IF($C$25="AUSSCHÜTTER",0,IF(AO194*$C$46*$C$49&lt;=$C$47,0,AO194*$C$46*$C$49))</f>
        <v>0</v>
      </c>
      <c r="AR194" s="122">
        <f>IF(AO193*$C$49&gt;$C$47,(AN194)*$C$49*$C$46,IF((AO193+AN194)*$C$49&gt;$C$47,((AO193+AN194)*$C$49-$C$47)*$C$46,0))</f>
        <v>0</v>
      </c>
      <c r="AS194" s="122">
        <f t="shared" si="347"/>
        <v>0</v>
      </c>
      <c r="AT194" s="122">
        <f t="shared" si="348"/>
        <v>430891.77838569693</v>
      </c>
      <c r="AU194" s="122">
        <f t="shared" si="349"/>
        <v>0</v>
      </c>
      <c r="AV194" s="122">
        <f t="shared" si="350"/>
        <v>-69853936.894812018</v>
      </c>
      <c r="AW194" s="122">
        <f t="shared" si="335"/>
        <v>0</v>
      </c>
      <c r="AX194" s="130">
        <f t="shared" si="336"/>
        <v>0</v>
      </c>
      <c r="AY194" s="82">
        <f>IF(AF194&lt;$C$11,$C$15*(1+$C$19)^(AF194-$C$10),0)</f>
        <v>0</v>
      </c>
      <c r="AZ194" s="82">
        <f>$C$14*(1+$C$37)^(AF194-$C$10)</f>
        <v>300464.49478428927</v>
      </c>
      <c r="BA194" s="165">
        <f>IF(AF194&lt;$C$11,0,MAX($C$38*AI194,AZ194))</f>
        <v>300464.49478428927</v>
      </c>
      <c r="BB194" s="82">
        <f>IF(AF194&lt;$C$11,0,MAX($C$38*AI194,AZ194))</f>
        <v>300464.49478428927</v>
      </c>
      <c r="BC194" s="136">
        <f>IF($C$39="JA",CT194,DG194)</f>
        <v>79247.510499356285</v>
      </c>
      <c r="BD194" s="82">
        <f t="shared" si="324"/>
        <v>0</v>
      </c>
      <c r="BE194" s="82">
        <f>IF(AF194&lt;($C$8+$C$30),0,$C$29*12*(1-$C$31))</f>
        <v>0</v>
      </c>
      <c r="BF194" s="82">
        <f>IF(AF194&lt;($C$8+$C$34),0,$C$33*12*(1-$C$35))</f>
        <v>0</v>
      </c>
      <c r="BG194" s="82">
        <f>IF(AF194&lt;$C$11,0,IF(AI194&lt;0,$C$42*(1+$C$44)^(AF194-$C$10),IF(((AL194+BE194+BF194)*$C$41)&lt;$C$42*(1+$C$44)^(AF194-$C$10),$C$42*(1+$C$44)^(AF194-$C$10),IF(((AL194+BE194+BF194)*$C$41)&lt;$C$43*(1+$C$44)^(AF194-$C$10),(AL194+BE194+BF194)*$C$41,IF(((AL194+BE194+BF194+BB194)*$C$41)&lt;$C$43*(1+$C$44)^(AF194-$C$10),((AL194+BE194+BF194+BB194)*$C$41),$C$43*(1+$C$44)^(AF194-$C$10))))))</f>
        <v>13102.074305999615</v>
      </c>
      <c r="BH194" s="82">
        <f t="shared" si="238"/>
        <v>392814.07958964515</v>
      </c>
      <c r="BI194" s="242">
        <f t="shared" si="351"/>
        <v>-69853936.894812018</v>
      </c>
      <c r="BJ194" s="217">
        <f t="shared" si="352"/>
        <v>-70246750.974401668</v>
      </c>
      <c r="BK194" s="118"/>
      <c r="BL194" s="219">
        <f t="shared" si="353"/>
        <v>98</v>
      </c>
      <c r="BM194" s="220">
        <f t="shared" si="354"/>
        <v>115</v>
      </c>
      <c r="BN194" s="220">
        <f t="shared" si="355"/>
        <v>0</v>
      </c>
      <c r="BO194" s="221">
        <f t="shared" si="356"/>
        <v>0</v>
      </c>
      <c r="BP194" s="221">
        <f t="shared" si="357"/>
        <v>0</v>
      </c>
      <c r="BQ194" s="222">
        <f t="shared" si="358"/>
        <v>0</v>
      </c>
      <c r="BR194" s="223">
        <f>IF(BM194&lt;$C$11-$C$10+1,0,IF(BL194&lt;=$C$13,VLOOKUP(BL194,$BN$80:$BQ$156,2,FALSE)-BS194,0))</f>
        <v>0</v>
      </c>
      <c r="BS194" s="223">
        <f>IF(BM194&lt;$C$11-$C$10+1,0,IF(BL194&lt;=$C$13,VLOOKUP(BL194,$BN$80:$BQ$156,3,FALSE),0))</f>
        <v>0</v>
      </c>
      <c r="BT194" s="222">
        <f>IF(BM194&lt;$C$11-$C$10+1,0,IF(BL194&lt;=$C$13,VLOOKUP(BL194,$BN$80:$BQ$156,4,FALSE),0))</f>
        <v>0</v>
      </c>
      <c r="BU194" s="223">
        <f t="shared" si="359"/>
        <v>0</v>
      </c>
      <c r="BV194" s="223">
        <f t="shared" si="360"/>
        <v>0</v>
      </c>
      <c r="BW194" s="223">
        <f t="shared" si="361"/>
        <v>0</v>
      </c>
      <c r="BX194" s="223">
        <f>IF(AND(BS194&lt;=0,BN194=0),MIN((MAX($BZ$80:$BZ$156)-SUM($BX$80:BX193)),CA194),IF(BS194&lt;CA194,BS194,CA194))</f>
        <v>0</v>
      </c>
      <c r="BY194" s="222">
        <f>IF(BN194&gt;0,0,IF(AND(BN194=0,BT194&lt;=0),100%,((BW193*(AVERAGE($BT$80:BT193))+(BR194*BT194))/(BR194+BW193+BS194+BV193))))</f>
        <v>1</v>
      </c>
      <c r="BZ194" s="139">
        <f t="shared" si="362"/>
        <v>430891.77838569693</v>
      </c>
      <c r="CA194" s="122">
        <f t="shared" si="363"/>
        <v>300464.49478428927</v>
      </c>
      <c r="CB194" s="181">
        <f t="shared" si="364"/>
        <v>1</v>
      </c>
      <c r="CC194" s="122">
        <f t="shared" si="365"/>
        <v>11411286.835578512</v>
      </c>
      <c r="CD194" s="182">
        <f t="shared" si="366"/>
        <v>0</v>
      </c>
      <c r="CE194" s="122">
        <f t="shared" si="367"/>
        <v>430891.77838569693</v>
      </c>
      <c r="CF194" s="122">
        <f t="shared" si="368"/>
        <v>0</v>
      </c>
      <c r="CG194" s="122" t="str">
        <f t="shared" si="369"/>
        <v/>
      </c>
      <c r="CH194" s="140">
        <f t="shared" si="370"/>
        <v>1</v>
      </c>
      <c r="CI194" s="142">
        <f t="shared" si="371"/>
        <v>9984</v>
      </c>
      <c r="CJ194" s="134">
        <f>CI194*$C$57</f>
        <v>0</v>
      </c>
      <c r="CK194" s="142">
        <f t="shared" si="372"/>
        <v>14926</v>
      </c>
      <c r="CL194" s="134">
        <f>CK194*$C$57</f>
        <v>0</v>
      </c>
      <c r="CM194" s="142">
        <f t="shared" si="373"/>
        <v>58596</v>
      </c>
      <c r="CN194" s="134">
        <f>CM194*$C$57</f>
        <v>0</v>
      </c>
      <c r="CO194" s="132">
        <f t="shared" si="374"/>
        <v>300464.49478428927</v>
      </c>
      <c r="CP194" s="140">
        <f t="shared" si="375"/>
        <v>0.42</v>
      </c>
      <c r="CQ194" s="121" t="str">
        <f>IF($C$50="NEIN","NEIN",IF(CS194&lt;CR194,"JA","NEIN"))</f>
        <v>NEIN</v>
      </c>
      <c r="CR194" s="121">
        <f>CO194*$C$46</f>
        <v>79247.510499356285</v>
      </c>
      <c r="CS194" s="121">
        <f t="shared" si="376"/>
        <v>116927.55780940149</v>
      </c>
      <c r="CT194" s="201">
        <f>IF($C$50="NEIN",CR194,IF(CQ194="NEIN",CR194,CS194))</f>
        <v>79247.510499356285</v>
      </c>
      <c r="CU194" s="149"/>
      <c r="CV194" s="202">
        <f t="shared" si="377"/>
        <v>9984</v>
      </c>
      <c r="CW194" s="134">
        <f>CV194*$C$57</f>
        <v>0</v>
      </c>
      <c r="CX194" s="142">
        <f t="shared" si="378"/>
        <v>14926</v>
      </c>
      <c r="CY194" s="134">
        <f>CX194*$C$57</f>
        <v>0</v>
      </c>
      <c r="CZ194" s="142">
        <f t="shared" si="379"/>
        <v>58596</v>
      </c>
      <c r="DA194" s="143">
        <f>CZ194*$C$57</f>
        <v>0</v>
      </c>
      <c r="DB194" s="165">
        <f t="shared" si="380"/>
        <v>300464.49478428927</v>
      </c>
      <c r="DC194" s="140">
        <f t="shared" si="381"/>
        <v>0.42</v>
      </c>
      <c r="DD194" s="121" t="str">
        <f>IF($C$50="NEIN","NEIN",IF(DF194&lt;DE194,"JA","NEIN"))</f>
        <v>NEIN</v>
      </c>
      <c r="DE194" s="121">
        <f>DB194*$C$46</f>
        <v>79247.510499356285</v>
      </c>
      <c r="DF194" s="121">
        <f t="shared" si="382"/>
        <v>116927.55780940149</v>
      </c>
      <c r="DG194" s="201">
        <f>IF($C$50="NEIN",DE194,IF(DD194="NEIN",DE194,DF194))</f>
        <v>79247.510499356285</v>
      </c>
    </row>
    <row r="195" spans="2:111" ht="15.75" x14ac:dyDescent="0.5">
      <c r="B195" s="333"/>
      <c r="C195" s="75"/>
      <c r="D195" s="75"/>
      <c r="F195" s="75"/>
      <c r="G195" s="75"/>
      <c r="H195" s="75"/>
      <c r="I195" s="75"/>
      <c r="J195" s="75"/>
      <c r="K195" s="75"/>
      <c r="L195" s="75"/>
      <c r="M195" s="75"/>
      <c r="O195" s="75"/>
      <c r="P195" s="75"/>
      <c r="Q195" s="75"/>
      <c r="R195" s="75"/>
      <c r="S195" s="290"/>
      <c r="T195" s="291"/>
      <c r="U195" s="291"/>
      <c r="V195" s="292"/>
      <c r="W195" s="292"/>
      <c r="AB195" s="117">
        <f t="shared" si="207"/>
        <v>143</v>
      </c>
      <c r="AC195" s="117">
        <f t="shared" si="208"/>
        <v>2136</v>
      </c>
      <c r="AD195" s="299">
        <f>IF($C$20="NEIN",$C$21,IF($C$22="JA",'HISTORISCHE RENDITEN'!E119,'HISTORISCHE RENDITEN'!D119))</f>
        <v>0.14749999999999999</v>
      </c>
      <c r="AE195" s="129">
        <f t="shared" si="278"/>
        <v>143</v>
      </c>
      <c r="AF195" s="120">
        <f t="shared" si="340"/>
        <v>2136</v>
      </c>
      <c r="AG195" s="122">
        <f t="shared" si="341"/>
        <v>0</v>
      </c>
      <c r="AH195" s="124">
        <f t="shared" si="342"/>
        <v>430891.77838569693</v>
      </c>
      <c r="AI195" s="296">
        <f t="shared" si="343"/>
        <v>-70246750.974401668</v>
      </c>
      <c r="AJ195" s="123">
        <f t="shared" si="233"/>
        <v>0</v>
      </c>
      <c r="AK195" s="124">
        <f t="shared" si="344"/>
        <v>-80608146.743125916</v>
      </c>
      <c r="AL195" s="122">
        <f t="shared" si="345"/>
        <v>-10361395.768724248</v>
      </c>
      <c r="AM195" s="122" t="b">
        <f>IF($C$25="Ausschütter",0,IF(AL195&gt;=0,(AI195+AJ195)*$C$48*0.7))</f>
        <v>0</v>
      </c>
      <c r="AN195" s="122">
        <f t="shared" si="323"/>
        <v>0</v>
      </c>
      <c r="AO195" s="122">
        <f t="shared" si="212"/>
        <v>0</v>
      </c>
      <c r="AP195" s="122">
        <f t="shared" si="346"/>
        <v>-18866.221048522573</v>
      </c>
      <c r="AQ195" s="122">
        <f>IF($C$25="AUSSCHÜTTER",0,IF(AO195*$C$46*$C$49&lt;=$C$47,0,AO195*$C$46*$C$49))</f>
        <v>0</v>
      </c>
      <c r="AR195" s="122">
        <f>IF(AO194*$C$49&gt;$C$47,(AN195)*$C$49*$C$46,IF((AO194+AN195)*$C$49&gt;$C$47,((AO194+AN195)*$C$49-$C$47)*$C$46,0))</f>
        <v>0</v>
      </c>
      <c r="AS195" s="122">
        <f t="shared" si="347"/>
        <v>0</v>
      </c>
      <c r="AT195" s="122">
        <f t="shared" si="348"/>
        <v>430891.77838569693</v>
      </c>
      <c r="AU195" s="122">
        <f t="shared" si="349"/>
        <v>0</v>
      </c>
      <c r="AV195" s="122">
        <f t="shared" si="350"/>
        <v>-80608146.743125916</v>
      </c>
      <c r="AW195" s="122">
        <f t="shared" si="335"/>
        <v>0</v>
      </c>
      <c r="AX195" s="130">
        <f t="shared" si="336"/>
        <v>0</v>
      </c>
      <c r="AY195" s="82">
        <f>IF(AF195&lt;$C$11,$C$15*(1+$C$19)^(AF195-$C$10),0)</f>
        <v>0</v>
      </c>
      <c r="AZ195" s="82">
        <f>$C$14*(1+$C$37)^(AF195-$C$10)</f>
        <v>307976.10715389653</v>
      </c>
      <c r="BA195" s="165">
        <f>IF(AF195&lt;$C$11,0,MAX($C$38*AI195,AZ195))</f>
        <v>307976.10715389653</v>
      </c>
      <c r="BB195" s="82">
        <f>IF(AF195&lt;$C$11,0,MAX($C$38*AI195,AZ195))</f>
        <v>307976.10715389653</v>
      </c>
      <c r="BC195" s="136">
        <f>IF($C$39="JA",CT195,DG195)</f>
        <v>81228.698261840211</v>
      </c>
      <c r="BD195" s="82">
        <f t="shared" si="324"/>
        <v>0</v>
      </c>
      <c r="BE195" s="82">
        <f>IF(AF195&lt;($C$8+$C$30),0,$C$29*12*(1-$C$31))</f>
        <v>0</v>
      </c>
      <c r="BF195" s="82">
        <f>IF(AF195&lt;($C$8+$C$34),0,$C$33*12*(1-$C$35))</f>
        <v>0</v>
      </c>
      <c r="BG195" s="82">
        <f>IF(AF195&lt;$C$11,0,IF(AI195&lt;0,$C$42*(1+$C$44)^(AF195-$C$10),IF(((AL195+BE195+BF195)*$C$41)&lt;$C$42*(1+$C$44)^(AF195-$C$10),$C$42*(1+$C$44)^(AF195-$C$10),IF(((AL195+BE195+BF195)*$C$41)&lt;$C$43*(1+$C$44)^(AF195-$C$10),(AL195+BE195+BF195)*$C$41,IF(((AL195+BE195+BF195+BB195)*$C$41)&lt;$C$43*(1+$C$44)^(AF195-$C$10),((AL195+BE195+BF195+BB195)*$C$41),$C$43*(1+$C$44)^(AF195-$C$10))))))</f>
        <v>13298.605420589605</v>
      </c>
      <c r="BH195" s="82">
        <f t="shared" si="238"/>
        <v>402503.41083632637</v>
      </c>
      <c r="BI195" s="242">
        <f t="shared" si="351"/>
        <v>-80608146.743125916</v>
      </c>
      <c r="BJ195" s="217">
        <f t="shared" si="352"/>
        <v>-81010650.15396224</v>
      </c>
      <c r="BK195" s="118"/>
      <c r="BL195" s="219">
        <f t="shared" si="353"/>
        <v>99</v>
      </c>
      <c r="BM195" s="220">
        <f t="shared" si="354"/>
        <v>116</v>
      </c>
      <c r="BN195" s="220">
        <f t="shared" si="355"/>
        <v>0</v>
      </c>
      <c r="BO195" s="221">
        <f t="shared" si="356"/>
        <v>0</v>
      </c>
      <c r="BP195" s="221">
        <f t="shared" si="357"/>
        <v>0</v>
      </c>
      <c r="BQ195" s="222">
        <f t="shared" si="358"/>
        <v>0</v>
      </c>
      <c r="BR195" s="223">
        <f>IF(BM195&lt;$C$11-$C$10+1,0,IF(BL195&lt;=$C$13,VLOOKUP(BL195,$BN$80:$BQ$156,2,FALSE)-BS195,0))</f>
        <v>0</v>
      </c>
      <c r="BS195" s="223">
        <f>IF(BM195&lt;$C$11-$C$10+1,0,IF(BL195&lt;=$C$13,VLOOKUP(BL195,$BN$80:$BQ$156,3,FALSE),0))</f>
        <v>0</v>
      </c>
      <c r="BT195" s="222">
        <f>IF(BM195&lt;$C$11-$C$10+1,0,IF(BL195&lt;=$C$13,VLOOKUP(BL195,$BN$80:$BQ$156,4,FALSE),0))</f>
        <v>0</v>
      </c>
      <c r="BU195" s="223">
        <f t="shared" si="359"/>
        <v>0</v>
      </c>
      <c r="BV195" s="223">
        <f t="shared" si="360"/>
        <v>0</v>
      </c>
      <c r="BW195" s="223">
        <f t="shared" si="361"/>
        <v>0</v>
      </c>
      <c r="BX195" s="223">
        <f>IF(AND(BS195&lt;=0,BN195=0),MIN((MAX($BZ$80:$BZ$156)-SUM($BX$80:BX194)),CA195),IF(BS195&lt;CA195,BS195,CA195))</f>
        <v>0</v>
      </c>
      <c r="BY195" s="222">
        <f>IF(BN195&gt;0,0,IF(AND(BN195=0,BT195&lt;=0),100%,((BW194*(AVERAGE($BT$80:BT194))+(BR195*BT195))/(BR195+BW194+BS195+BV194))))</f>
        <v>1</v>
      </c>
      <c r="BZ195" s="139">
        <f t="shared" si="362"/>
        <v>430891.77838569693</v>
      </c>
      <c r="CA195" s="122">
        <f t="shared" si="363"/>
        <v>307976.10715389653</v>
      </c>
      <c r="CB195" s="181">
        <f t="shared" si="364"/>
        <v>1</v>
      </c>
      <c r="CC195" s="122">
        <f t="shared" si="365"/>
        <v>11719262.942732409</v>
      </c>
      <c r="CD195" s="182">
        <f t="shared" si="366"/>
        <v>0</v>
      </c>
      <c r="CE195" s="122">
        <f t="shared" si="367"/>
        <v>430891.77838569693</v>
      </c>
      <c r="CF195" s="122">
        <f t="shared" si="368"/>
        <v>0</v>
      </c>
      <c r="CG195" s="122" t="str">
        <f t="shared" si="369"/>
        <v/>
      </c>
      <c r="CH195" s="140">
        <f t="shared" si="370"/>
        <v>1</v>
      </c>
      <c r="CI195" s="142">
        <f t="shared" si="371"/>
        <v>9984</v>
      </c>
      <c r="CJ195" s="134">
        <f>CI195*$C$57</f>
        <v>0</v>
      </c>
      <c r="CK195" s="142">
        <f t="shared" si="372"/>
        <v>14926</v>
      </c>
      <c r="CL195" s="134">
        <f>CK195*$C$57</f>
        <v>0</v>
      </c>
      <c r="CM195" s="142">
        <f t="shared" si="373"/>
        <v>58596</v>
      </c>
      <c r="CN195" s="134">
        <f>CM195*$C$57</f>
        <v>0</v>
      </c>
      <c r="CO195" s="132">
        <f t="shared" si="374"/>
        <v>307976.10715389653</v>
      </c>
      <c r="CP195" s="140">
        <f t="shared" si="375"/>
        <v>0.42</v>
      </c>
      <c r="CQ195" s="121" t="str">
        <f>IF($C$50="NEIN","NEIN",IF(CS195&lt;CR195,"JA","NEIN"))</f>
        <v>NEIN</v>
      </c>
      <c r="CR195" s="121">
        <f>CO195*$C$46</f>
        <v>81228.698261840211</v>
      </c>
      <c r="CS195" s="121">
        <f t="shared" si="376"/>
        <v>120082.43500463654</v>
      </c>
      <c r="CT195" s="201">
        <f>IF($C$50="NEIN",CR195,IF(CQ195="NEIN",CR195,CS195))</f>
        <v>81228.698261840211</v>
      </c>
      <c r="CU195" s="149"/>
      <c r="CV195" s="202">
        <f t="shared" si="377"/>
        <v>9984</v>
      </c>
      <c r="CW195" s="134">
        <f>CV195*$C$57</f>
        <v>0</v>
      </c>
      <c r="CX195" s="142">
        <f t="shared" si="378"/>
        <v>14926</v>
      </c>
      <c r="CY195" s="134">
        <f>CX195*$C$57</f>
        <v>0</v>
      </c>
      <c r="CZ195" s="142">
        <f t="shared" si="379"/>
        <v>58596</v>
      </c>
      <c r="DA195" s="143">
        <f>CZ195*$C$57</f>
        <v>0</v>
      </c>
      <c r="DB195" s="165">
        <f t="shared" si="380"/>
        <v>307976.10715389653</v>
      </c>
      <c r="DC195" s="140">
        <f t="shared" si="381"/>
        <v>0.42</v>
      </c>
      <c r="DD195" s="121" t="str">
        <f>IF($C$50="NEIN","NEIN",IF(DF195&lt;DE195,"JA","NEIN"))</f>
        <v>NEIN</v>
      </c>
      <c r="DE195" s="121">
        <f>DB195*$C$46</f>
        <v>81228.698261840211</v>
      </c>
      <c r="DF195" s="121">
        <f t="shared" si="382"/>
        <v>120082.43500463654</v>
      </c>
      <c r="DG195" s="201">
        <f>IF($C$50="NEIN",DE195,IF(DD195="NEIN",DE195,DF195))</f>
        <v>81228.698261840211</v>
      </c>
    </row>
    <row r="196" spans="2:111" ht="15.75" x14ac:dyDescent="0.5">
      <c r="B196" s="333"/>
      <c r="C196" s="75"/>
      <c r="D196" s="75"/>
      <c r="F196" s="75"/>
      <c r="G196" s="75"/>
      <c r="H196" s="75"/>
      <c r="I196" s="75"/>
      <c r="J196" s="75"/>
      <c r="K196" s="75"/>
      <c r="L196" s="75"/>
      <c r="M196" s="75"/>
      <c r="O196" s="75"/>
      <c r="P196" s="75"/>
      <c r="Q196" s="75"/>
      <c r="R196" s="75"/>
      <c r="S196" s="290"/>
      <c r="T196" s="291"/>
      <c r="U196" s="291"/>
      <c r="V196" s="292"/>
      <c r="W196" s="292"/>
      <c r="AB196" s="117">
        <f t="shared" si="207"/>
        <v>144</v>
      </c>
      <c r="AC196" s="117">
        <f t="shared" si="208"/>
        <v>2137</v>
      </c>
      <c r="AD196" s="299">
        <f>IF($C$20="NEIN",$C$21,IF($C$22="JA",'HISTORISCHE RENDITEN'!E120,'HISTORISCHE RENDITEN'!D120))</f>
        <v>-0.1865</v>
      </c>
      <c r="AE196" s="129">
        <f t="shared" si="278"/>
        <v>144</v>
      </c>
      <c r="AF196" s="120">
        <f t="shared" si="340"/>
        <v>2137</v>
      </c>
      <c r="AG196" s="122">
        <f t="shared" si="341"/>
        <v>0</v>
      </c>
      <c r="AH196" s="124">
        <f t="shared" si="342"/>
        <v>430891.77838569693</v>
      </c>
      <c r="AI196" s="296">
        <f t="shared" si="343"/>
        <v>-81010650.15396224</v>
      </c>
      <c r="AJ196" s="123">
        <f t="shared" si="233"/>
        <v>0</v>
      </c>
      <c r="AK196" s="124">
        <f t="shared" si="344"/>
        <v>-65902163.900248282</v>
      </c>
      <c r="AL196" s="122">
        <f t="shared" si="345"/>
        <v>15108486.253713958</v>
      </c>
      <c r="AM196" s="122">
        <f>IF($C$25="Ausschütter",0,IF(AL196&gt;=0,(AI196+AJ196)*$C$48*0.7))</f>
        <v>-39695.218575441497</v>
      </c>
      <c r="AN196" s="122">
        <f t="shared" si="323"/>
        <v>0</v>
      </c>
      <c r="AO196" s="122">
        <f t="shared" si="212"/>
        <v>-39695.218575441497</v>
      </c>
      <c r="AP196" s="122">
        <f t="shared" si="346"/>
        <v>-58561.43962396407</v>
      </c>
      <c r="AQ196" s="122">
        <f>IF($C$25="AUSSCHÜTTER",0,IF(AO196*$C$46*$C$49&lt;=$C$47,0,AO196*$C$46*$C$49))</f>
        <v>0</v>
      </c>
      <c r="AR196" s="122">
        <f>IF(AO195*$C$49&gt;$C$47,(AN196)*$C$49*$C$46,IF((AO195+AN196)*$C$49&gt;$C$47,((AO195+AN196)*$C$49-$C$47)*$C$46,0))</f>
        <v>0</v>
      </c>
      <c r="AS196" s="122">
        <f t="shared" si="347"/>
        <v>0</v>
      </c>
      <c r="AT196" s="122">
        <f t="shared" si="348"/>
        <v>430891.77838569693</v>
      </c>
      <c r="AU196" s="122">
        <f t="shared" si="349"/>
        <v>0</v>
      </c>
      <c r="AV196" s="122">
        <f t="shared" si="350"/>
        <v>-65902163.900248282</v>
      </c>
      <c r="AW196" s="122">
        <f t="shared" si="335"/>
        <v>0</v>
      </c>
      <c r="AX196" s="130">
        <f t="shared" si="336"/>
        <v>0</v>
      </c>
      <c r="AY196" s="82">
        <f>IF(AF196&lt;$C$11,$C$15*(1+$C$19)^(AF196-$C$10),0)</f>
        <v>0</v>
      </c>
      <c r="AZ196" s="82">
        <f>$C$14*(1+$C$37)^(AF196-$C$10)</f>
        <v>315675.50983274385</v>
      </c>
      <c r="BA196" s="165">
        <f>IF(AF196&lt;$C$11,0,MAX($C$38*AI196,AZ196))</f>
        <v>315675.50983274385</v>
      </c>
      <c r="BB196" s="82">
        <f>IF(AF196&lt;$C$11,0,MAX($C$38*AI196,AZ196))</f>
        <v>315675.50983274385</v>
      </c>
      <c r="BC196" s="136">
        <f>IF($C$39="JA",CT196,DG196)</f>
        <v>83259.415718386183</v>
      </c>
      <c r="BD196" s="82">
        <f t="shared" si="324"/>
        <v>0</v>
      </c>
      <c r="BE196" s="82">
        <f>IF(AF196&lt;($C$8+$C$30),0,$C$29*12*(1-$C$31))</f>
        <v>0</v>
      </c>
      <c r="BF196" s="82">
        <f>IF(AF196&lt;($C$8+$C$34),0,$C$33*12*(1-$C$35))</f>
        <v>0</v>
      </c>
      <c r="BG196" s="82">
        <f>IF(AF196&lt;$C$11,0,IF(AI196&lt;0,$C$42*(1+$C$44)^(AF196-$C$10),IF(((AL196+BE196+BF196)*$C$41)&lt;$C$42*(1+$C$44)^(AF196-$C$10),$C$42*(1+$C$44)^(AF196-$C$10),IF(((AL196+BE196+BF196)*$C$41)&lt;$C$43*(1+$C$44)^(AF196-$C$10),(AL196+BE196+BF196)*$C$41,IF(((AL196+BE196+BF196+BB196)*$C$41)&lt;$C$43*(1+$C$44)^(AF196-$C$10),((AL196+BE196+BF196+BB196)*$C$41),$C$43*(1+$C$44)^(AF196-$C$10))))))</f>
        <v>13498.084501898447</v>
      </c>
      <c r="BH196" s="82">
        <f t="shared" si="238"/>
        <v>412433.01005302847</v>
      </c>
      <c r="BI196" s="242">
        <f t="shared" si="351"/>
        <v>-65902163.900248282</v>
      </c>
      <c r="BJ196" s="217">
        <f t="shared" si="352"/>
        <v>-66314596.910301313</v>
      </c>
      <c r="BK196" s="118"/>
      <c r="BL196" s="219">
        <f t="shared" si="353"/>
        <v>100</v>
      </c>
      <c r="BM196" s="220">
        <f t="shared" si="354"/>
        <v>117</v>
      </c>
      <c r="BN196" s="220">
        <f t="shared" si="355"/>
        <v>0</v>
      </c>
      <c r="BO196" s="221">
        <f t="shared" si="356"/>
        <v>0</v>
      </c>
      <c r="BP196" s="221">
        <f t="shared" si="357"/>
        <v>0</v>
      </c>
      <c r="BQ196" s="222">
        <f t="shared" si="358"/>
        <v>0</v>
      </c>
      <c r="BR196" s="223">
        <f>IF(BM196&lt;$C$11-$C$10+1,0,IF(BL196&lt;=$C$13,VLOOKUP(BL196,$BN$80:$BQ$156,2,FALSE)-BS196,0))</f>
        <v>0</v>
      </c>
      <c r="BS196" s="223">
        <f>IF(BM196&lt;$C$11-$C$10+1,0,IF(BL196&lt;=$C$13,VLOOKUP(BL196,$BN$80:$BQ$156,3,FALSE),0))</f>
        <v>0</v>
      </c>
      <c r="BT196" s="222">
        <f>IF(BM196&lt;$C$11-$C$10+1,0,IF(BL196&lt;=$C$13,VLOOKUP(BL196,$BN$80:$BQ$156,4,FALSE),0))</f>
        <v>0</v>
      </c>
      <c r="BU196" s="223">
        <f t="shared" si="359"/>
        <v>0</v>
      </c>
      <c r="BV196" s="223">
        <f t="shared" si="360"/>
        <v>0</v>
      </c>
      <c r="BW196" s="223">
        <f t="shared" si="361"/>
        <v>0</v>
      </c>
      <c r="BX196" s="223">
        <f>IF(AND(BS196&lt;=0,BN196=0),MIN((MAX($BZ$80:$BZ$156)-SUM($BX$80:BX195)),CA196),IF(BS196&lt;CA196,BS196,CA196))</f>
        <v>0</v>
      </c>
      <c r="BY196" s="222">
        <f>IF(BN196&gt;0,0,IF(AND(BN196=0,BT196&lt;=0),100%,((BW195*(AVERAGE($BT$80:BT195))+(BR196*BT196))/(BR196+BW195+BS196+BV195))))</f>
        <v>1</v>
      </c>
      <c r="BZ196" s="139">
        <f t="shared" si="362"/>
        <v>430891.77838569693</v>
      </c>
      <c r="CA196" s="122">
        <f t="shared" si="363"/>
        <v>315675.50983274385</v>
      </c>
      <c r="CB196" s="181">
        <f t="shared" si="364"/>
        <v>1</v>
      </c>
      <c r="CC196" s="122">
        <f t="shared" si="365"/>
        <v>12034938.452565152</v>
      </c>
      <c r="CD196" s="182">
        <f t="shared" si="366"/>
        <v>0</v>
      </c>
      <c r="CE196" s="122">
        <f t="shared" si="367"/>
        <v>430891.77838569693</v>
      </c>
      <c r="CF196" s="122">
        <f t="shared" si="368"/>
        <v>0</v>
      </c>
      <c r="CG196" s="122" t="str">
        <f t="shared" si="369"/>
        <v/>
      </c>
      <c r="CH196" s="140">
        <f t="shared" si="370"/>
        <v>1</v>
      </c>
      <c r="CI196" s="142">
        <f t="shared" si="371"/>
        <v>9984</v>
      </c>
      <c r="CJ196" s="134">
        <f>CI196*$C$57</f>
        <v>0</v>
      </c>
      <c r="CK196" s="142">
        <f t="shared" si="372"/>
        <v>14926</v>
      </c>
      <c r="CL196" s="134">
        <f>CK196*$C$57</f>
        <v>0</v>
      </c>
      <c r="CM196" s="142">
        <f t="shared" si="373"/>
        <v>58596</v>
      </c>
      <c r="CN196" s="134">
        <f>CM196*$C$57</f>
        <v>0</v>
      </c>
      <c r="CO196" s="132">
        <f t="shared" si="374"/>
        <v>315675.50983274385</v>
      </c>
      <c r="CP196" s="140">
        <f t="shared" si="375"/>
        <v>0.42</v>
      </c>
      <c r="CQ196" s="121" t="str">
        <f>IF($C$50="NEIN","NEIN",IF(CS196&lt;CR196,"JA","NEIN"))</f>
        <v>NEIN</v>
      </c>
      <c r="CR196" s="121">
        <f>CO196*$C$46</f>
        <v>83259.415718386183</v>
      </c>
      <c r="CS196" s="121">
        <f t="shared" si="376"/>
        <v>123316.18412975242</v>
      </c>
      <c r="CT196" s="201">
        <f>IF($C$50="NEIN",CR196,IF(CQ196="NEIN",CR196,CS196))</f>
        <v>83259.415718386183</v>
      </c>
      <c r="CU196" s="149"/>
      <c r="CV196" s="202">
        <f t="shared" si="377"/>
        <v>9984</v>
      </c>
      <c r="CW196" s="134">
        <f>CV196*$C$57</f>
        <v>0</v>
      </c>
      <c r="CX196" s="142">
        <f t="shared" si="378"/>
        <v>14926</v>
      </c>
      <c r="CY196" s="134">
        <f>CX196*$C$57</f>
        <v>0</v>
      </c>
      <c r="CZ196" s="142">
        <f t="shared" si="379"/>
        <v>58596</v>
      </c>
      <c r="DA196" s="143">
        <f>CZ196*$C$57</f>
        <v>0</v>
      </c>
      <c r="DB196" s="165">
        <f t="shared" si="380"/>
        <v>315675.50983274385</v>
      </c>
      <c r="DC196" s="140">
        <f t="shared" si="381"/>
        <v>0.42</v>
      </c>
      <c r="DD196" s="121" t="str">
        <f>IF($C$50="NEIN","NEIN",IF(DF196&lt;DE196,"JA","NEIN"))</f>
        <v>NEIN</v>
      </c>
      <c r="DE196" s="121">
        <f>DB196*$C$46</f>
        <v>83259.415718386183</v>
      </c>
      <c r="DF196" s="121">
        <f t="shared" si="382"/>
        <v>123316.18412975242</v>
      </c>
      <c r="DG196" s="201">
        <f>IF($C$50="NEIN",DE196,IF(DD196="NEIN",DE196,DF196))</f>
        <v>83259.415718386183</v>
      </c>
    </row>
    <row r="197" spans="2:111" ht="15.75" x14ac:dyDescent="0.5">
      <c r="B197" s="333"/>
      <c r="C197" s="75"/>
      <c r="D197" s="75"/>
      <c r="F197" s="75"/>
      <c r="G197" s="75"/>
      <c r="H197" s="75"/>
      <c r="I197" s="75"/>
      <c r="J197" s="75"/>
      <c r="K197" s="75"/>
      <c r="L197" s="75"/>
      <c r="M197" s="75"/>
      <c r="O197" s="75"/>
      <c r="P197" s="75"/>
      <c r="Q197" s="75"/>
      <c r="R197" s="75"/>
      <c r="S197" s="290"/>
      <c r="T197" s="291"/>
      <c r="U197" s="291"/>
      <c r="V197" s="292"/>
      <c r="W197" s="292"/>
      <c r="AB197" s="117">
        <f t="shared" si="207"/>
        <v>145</v>
      </c>
      <c r="AC197" s="117">
        <f t="shared" si="208"/>
        <v>2138</v>
      </c>
      <c r="AD197" s="299">
        <f>IF($C$20="NEIN",$C$21,IF($C$22="JA",'HISTORISCHE RENDITEN'!E121,'HISTORISCHE RENDITEN'!D121))</f>
        <v>0.16</v>
      </c>
      <c r="AE197" s="129">
        <f t="shared" si="278"/>
        <v>145</v>
      </c>
      <c r="AF197" s="120">
        <f t="shared" si="340"/>
        <v>2138</v>
      </c>
      <c r="AG197" s="122">
        <f t="shared" si="341"/>
        <v>0</v>
      </c>
      <c r="AH197" s="124">
        <f t="shared" si="342"/>
        <v>430891.77838569693</v>
      </c>
      <c r="AI197" s="296">
        <f t="shared" si="343"/>
        <v>-66314596.910301313</v>
      </c>
      <c r="AJ197" s="123">
        <f t="shared" si="233"/>
        <v>0</v>
      </c>
      <c r="AK197" s="124">
        <f t="shared" si="344"/>
        <v>-76924932.415949523</v>
      </c>
      <c r="AL197" s="122">
        <f t="shared" si="345"/>
        <v>-10610335.505648211</v>
      </c>
      <c r="AM197" s="122" t="b">
        <f>IF($C$25="Ausschütter",0,IF(AL197&gt;=0,(AI197+AJ197)*$C$48*0.7))</f>
        <v>0</v>
      </c>
      <c r="AN197" s="122">
        <f t="shared" si="323"/>
        <v>0</v>
      </c>
      <c r="AO197" s="122">
        <f t="shared" si="212"/>
        <v>0</v>
      </c>
      <c r="AP197" s="122">
        <f t="shared" si="346"/>
        <v>-58561.43962396407</v>
      </c>
      <c r="AQ197" s="122">
        <f>IF($C$25="AUSSCHÜTTER",0,IF(AO197*$C$46*$C$49&lt;=$C$47,0,AO197*$C$46*$C$49))</f>
        <v>0</v>
      </c>
      <c r="AR197" s="122">
        <f>IF(AO196*$C$49&gt;$C$47,(AN197)*$C$49*$C$46,IF((AO196+AN197)*$C$49&gt;$C$47,((AO196+AN197)*$C$49-$C$47)*$C$46,0))</f>
        <v>0</v>
      </c>
      <c r="AS197" s="122">
        <f t="shared" si="347"/>
        <v>0</v>
      </c>
      <c r="AT197" s="122">
        <f t="shared" si="348"/>
        <v>430891.77838569693</v>
      </c>
      <c r="AU197" s="122">
        <f t="shared" si="349"/>
        <v>0</v>
      </c>
      <c r="AV197" s="122">
        <f t="shared" si="350"/>
        <v>-76924932.415949523</v>
      </c>
      <c r="AW197" s="122">
        <f t="shared" si="335"/>
        <v>0</v>
      </c>
      <c r="AX197" s="130">
        <f t="shared" si="336"/>
        <v>0</v>
      </c>
      <c r="AY197" s="82">
        <f>IF(AF197&lt;$C$11,$C$15*(1+$C$19)^(AF197-$C$10),0)</f>
        <v>0</v>
      </c>
      <c r="AZ197" s="82">
        <f>$C$14*(1+$C$37)^(AF197-$C$10)</f>
        <v>323567.39757856244</v>
      </c>
      <c r="BA197" s="165">
        <f>IF(AF197&lt;$C$11,0,MAX($C$38*AI197,AZ197))</f>
        <v>323567.39757856244</v>
      </c>
      <c r="BB197" s="82">
        <f>IF(AF197&lt;$C$11,0,MAX($C$38*AI197,AZ197))</f>
        <v>323567.39757856244</v>
      </c>
      <c r="BC197" s="136">
        <f>IF($C$39="JA",CT197,DG197)</f>
        <v>85340.90111134584</v>
      </c>
      <c r="BD197" s="82">
        <f t="shared" si="324"/>
        <v>0</v>
      </c>
      <c r="BE197" s="82">
        <f>IF(AF197&lt;($C$8+$C$30),0,$C$29*12*(1-$C$31))</f>
        <v>0</v>
      </c>
      <c r="BF197" s="82">
        <f>IF(AF197&lt;($C$8+$C$34),0,$C$33*12*(1-$C$35))</f>
        <v>0</v>
      </c>
      <c r="BG197" s="82">
        <f>IF(AF197&lt;$C$11,0,IF(AI197&lt;0,$C$42*(1+$C$44)^(AF197-$C$10),IF(((AL197+BE197+BF197)*$C$41)&lt;$C$42*(1+$C$44)^(AF197-$C$10),$C$42*(1+$C$44)^(AF197-$C$10),IF(((AL197+BE197+BF197)*$C$41)&lt;$C$43*(1+$C$44)^(AF197-$C$10),(AL197+BE197+BF197)*$C$41,IF(((AL197+BE197+BF197+BB197)*$C$41)&lt;$C$43*(1+$C$44)^(AF197-$C$10),((AL197+BE197+BF197+BB197)*$C$41),$C$43*(1+$C$44)^(AF197-$C$10))))))</f>
        <v>13700.555769426921</v>
      </c>
      <c r="BH197" s="82">
        <f t="shared" si="238"/>
        <v>422608.85445933521</v>
      </c>
      <c r="BI197" s="242">
        <f t="shared" si="351"/>
        <v>-76924932.415949523</v>
      </c>
      <c r="BJ197" s="217">
        <f t="shared" si="352"/>
        <v>-77347541.270408854</v>
      </c>
      <c r="BK197" s="118"/>
      <c r="BL197" s="219">
        <f t="shared" si="353"/>
        <v>101</v>
      </c>
      <c r="BM197" s="220">
        <f t="shared" si="354"/>
        <v>118</v>
      </c>
      <c r="BN197" s="220">
        <f t="shared" si="355"/>
        <v>0</v>
      </c>
      <c r="BO197" s="221">
        <f t="shared" si="356"/>
        <v>0</v>
      </c>
      <c r="BP197" s="221">
        <f t="shared" si="357"/>
        <v>0</v>
      </c>
      <c r="BQ197" s="222">
        <f t="shared" si="358"/>
        <v>0</v>
      </c>
      <c r="BR197" s="223">
        <f>IF(BM197&lt;$C$11-$C$10+1,0,IF(BL197&lt;=$C$13,VLOOKUP(BL197,$BN$80:$BQ$156,2,FALSE)-BS197,0))</f>
        <v>0</v>
      </c>
      <c r="BS197" s="223">
        <f>IF(BM197&lt;$C$11-$C$10+1,0,IF(BL197&lt;=$C$13,VLOOKUP(BL197,$BN$80:$BQ$156,3,FALSE),0))</f>
        <v>0</v>
      </c>
      <c r="BT197" s="222">
        <f>IF(BM197&lt;$C$11-$C$10+1,0,IF(BL197&lt;=$C$13,VLOOKUP(BL197,$BN$80:$BQ$156,4,FALSE),0))</f>
        <v>0</v>
      </c>
      <c r="BU197" s="223">
        <f t="shared" si="359"/>
        <v>0</v>
      </c>
      <c r="BV197" s="223">
        <f t="shared" si="360"/>
        <v>0</v>
      </c>
      <c r="BW197" s="223">
        <f t="shared" si="361"/>
        <v>0</v>
      </c>
      <c r="BX197" s="223">
        <f>IF(AND(BS197&lt;=0,BN197=0),MIN((MAX($BZ$80:$BZ$156)-SUM($BX$80:BX196)),CA197),IF(BS197&lt;CA197,BS197,CA197))</f>
        <v>0</v>
      </c>
      <c r="BY197" s="222">
        <f>IF(BN197&gt;0,0,IF(AND(BN197=0,BT197&lt;=0),100%,((BW196*(AVERAGE($BT$80:BT196))+(BR197*BT197))/(BR197+BW196+BS197+BV196))))</f>
        <v>1</v>
      </c>
      <c r="BZ197" s="139">
        <f t="shared" si="362"/>
        <v>430891.77838569693</v>
      </c>
      <c r="CA197" s="122">
        <f t="shared" si="363"/>
        <v>323567.39757856244</v>
      </c>
      <c r="CB197" s="181">
        <f t="shared" si="364"/>
        <v>1</v>
      </c>
      <c r="CC197" s="122">
        <f t="shared" si="365"/>
        <v>12358505.850143714</v>
      </c>
      <c r="CD197" s="182">
        <f t="shared" si="366"/>
        <v>0</v>
      </c>
      <c r="CE197" s="122">
        <f t="shared" si="367"/>
        <v>430891.77838569693</v>
      </c>
      <c r="CF197" s="122">
        <f t="shared" si="368"/>
        <v>0</v>
      </c>
      <c r="CG197" s="122" t="str">
        <f t="shared" si="369"/>
        <v/>
      </c>
      <c r="CH197" s="140">
        <f t="shared" si="370"/>
        <v>1</v>
      </c>
      <c r="CI197" s="142">
        <f t="shared" si="371"/>
        <v>9984</v>
      </c>
      <c r="CJ197" s="134">
        <f>CI197*$C$57</f>
        <v>0</v>
      </c>
      <c r="CK197" s="142">
        <f t="shared" si="372"/>
        <v>14926</v>
      </c>
      <c r="CL197" s="134">
        <f>CK197*$C$57</f>
        <v>0</v>
      </c>
      <c r="CM197" s="142">
        <f t="shared" si="373"/>
        <v>58596</v>
      </c>
      <c r="CN197" s="134">
        <f>CM197*$C$57</f>
        <v>0</v>
      </c>
      <c r="CO197" s="132">
        <f t="shared" si="374"/>
        <v>323567.39757856244</v>
      </c>
      <c r="CP197" s="140">
        <f t="shared" si="375"/>
        <v>0.42</v>
      </c>
      <c r="CQ197" s="121" t="str">
        <f>IF($C$50="NEIN","NEIN",IF(CS197&lt;CR197,"JA","NEIN"))</f>
        <v>NEIN</v>
      </c>
      <c r="CR197" s="121">
        <f>CO197*$C$46</f>
        <v>85340.90111134584</v>
      </c>
      <c r="CS197" s="121">
        <f t="shared" si="376"/>
        <v>126630.77698299621</v>
      </c>
      <c r="CT197" s="201">
        <f>IF($C$50="NEIN",CR197,IF(CQ197="NEIN",CR197,CS197))</f>
        <v>85340.90111134584</v>
      </c>
      <c r="CU197" s="149"/>
      <c r="CV197" s="202">
        <f t="shared" si="377"/>
        <v>9984</v>
      </c>
      <c r="CW197" s="134">
        <f>CV197*$C$57</f>
        <v>0</v>
      </c>
      <c r="CX197" s="142">
        <f t="shared" si="378"/>
        <v>14926</v>
      </c>
      <c r="CY197" s="134">
        <f>CX197*$C$57</f>
        <v>0</v>
      </c>
      <c r="CZ197" s="142">
        <f t="shared" si="379"/>
        <v>58596</v>
      </c>
      <c r="DA197" s="143">
        <f>CZ197*$C$57</f>
        <v>0</v>
      </c>
      <c r="DB197" s="165">
        <f t="shared" si="380"/>
        <v>323567.39757856244</v>
      </c>
      <c r="DC197" s="140">
        <f t="shared" si="381"/>
        <v>0.42</v>
      </c>
      <c r="DD197" s="121" t="str">
        <f>IF($C$50="NEIN","NEIN",IF(DF197&lt;DE197,"JA","NEIN"))</f>
        <v>NEIN</v>
      </c>
      <c r="DE197" s="121">
        <f>DB197*$C$46</f>
        <v>85340.90111134584</v>
      </c>
      <c r="DF197" s="121">
        <f t="shared" si="382"/>
        <v>126630.77698299621</v>
      </c>
      <c r="DG197" s="201">
        <f>IF($C$50="NEIN",DE197,IF(DD197="NEIN",DE197,DF197))</f>
        <v>85340.90111134584</v>
      </c>
    </row>
    <row r="198" spans="2:111" ht="15.75" x14ac:dyDescent="0.5">
      <c r="AB198" s="117">
        <f t="shared" si="207"/>
        <v>146</v>
      </c>
      <c r="AC198" s="117">
        <f t="shared" si="208"/>
        <v>2139</v>
      </c>
      <c r="AD198" s="299">
        <f>IF($C$20="NEIN",$C$21,IF($C$22="JA",'HISTORISCHE RENDITEN'!E122,'HISTORISCHE RENDITEN'!D122))</f>
        <v>-7.1399999999999991E-2</v>
      </c>
      <c r="AE198" s="129">
        <f t="shared" si="278"/>
        <v>146</v>
      </c>
      <c r="AF198" s="120">
        <f t="shared" si="340"/>
        <v>2139</v>
      </c>
      <c r="AG198" s="122">
        <f t="shared" si="341"/>
        <v>0</v>
      </c>
      <c r="AH198" s="124">
        <f t="shared" si="342"/>
        <v>430891.77838569693</v>
      </c>
      <c r="AI198" s="296">
        <f t="shared" si="343"/>
        <v>-77347541.270408854</v>
      </c>
      <c r="AJ198" s="123">
        <f t="shared" si="233"/>
        <v>0</v>
      </c>
      <c r="AK198" s="124">
        <f t="shared" si="344"/>
        <v>-71824926.823701665</v>
      </c>
      <c r="AL198" s="122">
        <f t="shared" si="345"/>
        <v>5522614.4467071891</v>
      </c>
      <c r="AM198" s="122">
        <f>IF($C$25="Ausschütter",0,IF(AL198&gt;=0,(AI198+AJ198)*$C$48*0.7))</f>
        <v>-37900.295222500332</v>
      </c>
      <c r="AN198" s="122">
        <f t="shared" si="323"/>
        <v>0</v>
      </c>
      <c r="AO198" s="122">
        <f t="shared" si="212"/>
        <v>-37900.295222500332</v>
      </c>
      <c r="AP198" s="122">
        <f t="shared" si="346"/>
        <v>-96461.734846464402</v>
      </c>
      <c r="AQ198" s="122">
        <f>IF($C$25="AUSSCHÜTTER",0,IF(AO198*$C$46*$C$49&lt;=$C$47,0,AO198*$C$46*$C$49))</f>
        <v>0</v>
      </c>
      <c r="AR198" s="122">
        <f>IF(AO197*$C$49&gt;$C$47,(AN198)*$C$49*$C$46,IF((AO197+AN198)*$C$49&gt;$C$47,((AO197+AN198)*$C$49-$C$47)*$C$46,0))</f>
        <v>0</v>
      </c>
      <c r="AS198" s="122">
        <f t="shared" si="347"/>
        <v>0</v>
      </c>
      <c r="AT198" s="122">
        <f t="shared" si="348"/>
        <v>430891.77838569693</v>
      </c>
      <c r="AU198" s="122">
        <f t="shared" si="349"/>
        <v>0</v>
      </c>
      <c r="AV198" s="122">
        <f t="shared" si="350"/>
        <v>-71824926.823701665</v>
      </c>
      <c r="AW198" s="122">
        <f t="shared" si="335"/>
        <v>0</v>
      </c>
      <c r="AX198" s="130">
        <f t="shared" si="336"/>
        <v>0</v>
      </c>
      <c r="AY198" s="82">
        <f>IF(AF198&lt;$C$11,$C$15*(1+$C$19)^(AF198-$C$10),0)</f>
        <v>0</v>
      </c>
      <c r="AZ198" s="82">
        <f>$C$14*(1+$C$37)^(AF198-$C$10)</f>
        <v>331656.58251802647</v>
      </c>
      <c r="BA198" s="165">
        <f>IF(AF198&lt;$C$11,0,MAX($C$38*AI198,AZ198))</f>
        <v>331656.58251802647</v>
      </c>
      <c r="BB198" s="82">
        <f>IF(AF198&lt;$C$11,0,MAX($C$38*AI198,AZ198))</f>
        <v>331656.58251802647</v>
      </c>
      <c r="BC198" s="136">
        <f>IF($C$39="JA",CT198,DG198)</f>
        <v>87474.423639129469</v>
      </c>
      <c r="BD198" s="82">
        <f t="shared" si="324"/>
        <v>0</v>
      </c>
      <c r="BE198" s="82">
        <f>IF(AF198&lt;($C$8+$C$30),0,$C$29*12*(1-$C$31))</f>
        <v>0</v>
      </c>
      <c r="BF198" s="82">
        <f>IF(AF198&lt;($C$8+$C$34),0,$C$33*12*(1-$C$35))</f>
        <v>0</v>
      </c>
      <c r="BG198" s="82">
        <f>IF(AF198&lt;$C$11,0,IF(AI198&lt;0,$C$42*(1+$C$44)^(AF198-$C$10),IF(((AL198+BE198+BF198)*$C$41)&lt;$C$42*(1+$C$44)^(AF198-$C$10),$C$42*(1+$C$44)^(AF198-$C$10),IF(((AL198+BE198+BF198)*$C$41)&lt;$C$43*(1+$C$44)^(AF198-$C$10),(AL198+BE198+BF198)*$C$41,IF(((AL198+BE198+BF198+BB198)*$C$41)&lt;$C$43*(1+$C$44)^(AF198-$C$10),((AL198+BE198+BF198+BB198)*$C$41),$C$43*(1+$C$44)^(AF198-$C$10))))))</f>
        <v>13906.06410596832</v>
      </c>
      <c r="BH198" s="82">
        <f t="shared" si="238"/>
        <v>433037.07026312425</v>
      </c>
      <c r="BI198" s="242">
        <f t="shared" si="351"/>
        <v>-71824926.823701665</v>
      </c>
      <c r="BJ198" s="217">
        <f t="shared" si="352"/>
        <v>-72257963.893964782</v>
      </c>
      <c r="BK198" s="118"/>
      <c r="BL198" s="219">
        <f t="shared" si="353"/>
        <v>102</v>
      </c>
      <c r="BM198" s="220">
        <f t="shared" si="354"/>
        <v>119</v>
      </c>
      <c r="BN198" s="220">
        <f t="shared" si="355"/>
        <v>0</v>
      </c>
      <c r="BO198" s="221">
        <f t="shared" si="356"/>
        <v>0</v>
      </c>
      <c r="BP198" s="221">
        <f t="shared" si="357"/>
        <v>0</v>
      </c>
      <c r="BQ198" s="222">
        <f t="shared" si="358"/>
        <v>0</v>
      </c>
      <c r="BR198" s="223">
        <f>IF(BM198&lt;$C$11-$C$10+1,0,IF(BL198&lt;=$C$13,VLOOKUP(BL198,$BN$80:$BQ$156,2,FALSE)-BS198,0))</f>
        <v>0</v>
      </c>
      <c r="BS198" s="223">
        <f>IF(BM198&lt;$C$11-$C$10+1,0,IF(BL198&lt;=$C$13,VLOOKUP(BL198,$BN$80:$BQ$156,3,FALSE),0))</f>
        <v>0</v>
      </c>
      <c r="BT198" s="222">
        <f>IF(BM198&lt;$C$11-$C$10+1,0,IF(BL198&lt;=$C$13,VLOOKUP(BL198,$BN$80:$BQ$156,4,FALSE),0))</f>
        <v>0</v>
      </c>
      <c r="BU198" s="223">
        <f t="shared" si="359"/>
        <v>0</v>
      </c>
      <c r="BV198" s="223">
        <f t="shared" si="360"/>
        <v>0</v>
      </c>
      <c r="BW198" s="223">
        <f t="shared" si="361"/>
        <v>0</v>
      </c>
      <c r="BX198" s="223">
        <f>IF(AND(BS198&lt;=0,BN198=0),MIN((MAX($BZ$80:$BZ$156)-SUM($BX$80:BX197)),CA198),IF(BS198&lt;CA198,BS198,CA198))</f>
        <v>0</v>
      </c>
      <c r="BY198" s="222">
        <f>IF(BN198&gt;0,0,IF(AND(BN198=0,BT198&lt;=0),100%,((BW197*(AVERAGE($BT$80:BT197))+(BR198*BT198))/(BR198+BW197+BS198+BV197))))</f>
        <v>1</v>
      </c>
      <c r="BZ198" s="139">
        <f t="shared" si="362"/>
        <v>430891.77838569693</v>
      </c>
      <c r="CA198" s="122">
        <f t="shared" si="363"/>
        <v>331656.58251802647</v>
      </c>
      <c r="CB198" s="181">
        <f t="shared" si="364"/>
        <v>1</v>
      </c>
      <c r="CC198" s="122">
        <f t="shared" si="365"/>
        <v>12690162.43266174</v>
      </c>
      <c r="CD198" s="182">
        <f t="shared" si="366"/>
        <v>0</v>
      </c>
      <c r="CE198" s="122">
        <f t="shared" si="367"/>
        <v>430891.77838569693</v>
      </c>
      <c r="CF198" s="122">
        <f t="shared" si="368"/>
        <v>0</v>
      </c>
      <c r="CG198" s="122" t="str">
        <f t="shared" si="369"/>
        <v/>
      </c>
      <c r="CH198" s="140">
        <f t="shared" si="370"/>
        <v>1</v>
      </c>
      <c r="CI198" s="142">
        <f t="shared" si="371"/>
        <v>9984</v>
      </c>
      <c r="CJ198" s="134">
        <f>CI198*$C$57</f>
        <v>0</v>
      </c>
      <c r="CK198" s="142">
        <f t="shared" si="372"/>
        <v>14926</v>
      </c>
      <c r="CL198" s="134">
        <f>CK198*$C$57</f>
        <v>0</v>
      </c>
      <c r="CM198" s="142">
        <f t="shared" si="373"/>
        <v>58596</v>
      </c>
      <c r="CN198" s="134">
        <f>CM198*$C$57</f>
        <v>0</v>
      </c>
      <c r="CO198" s="132">
        <f t="shared" si="374"/>
        <v>331656.58251802647</v>
      </c>
      <c r="CP198" s="140">
        <f t="shared" si="375"/>
        <v>0.42</v>
      </c>
      <c r="CQ198" s="121" t="str">
        <f>IF($C$50="NEIN","NEIN",IF(CS198&lt;CR198,"JA","NEIN"))</f>
        <v>NEIN</v>
      </c>
      <c r="CR198" s="121">
        <f>CO198*$C$46</f>
        <v>87474.423639129469</v>
      </c>
      <c r="CS198" s="121">
        <f t="shared" si="376"/>
        <v>130028.2346575711</v>
      </c>
      <c r="CT198" s="201">
        <f>IF($C$50="NEIN",CR198,IF(CQ198="NEIN",CR198,CS198))</f>
        <v>87474.423639129469</v>
      </c>
      <c r="CU198" s="149"/>
      <c r="CV198" s="202">
        <f t="shared" si="377"/>
        <v>9984</v>
      </c>
      <c r="CW198" s="134">
        <f>CV198*$C$57</f>
        <v>0</v>
      </c>
      <c r="CX198" s="142">
        <f t="shared" si="378"/>
        <v>14926</v>
      </c>
      <c r="CY198" s="134">
        <f>CX198*$C$57</f>
        <v>0</v>
      </c>
      <c r="CZ198" s="142">
        <f t="shared" si="379"/>
        <v>58596</v>
      </c>
      <c r="DA198" s="143">
        <f>CZ198*$C$57</f>
        <v>0</v>
      </c>
      <c r="DB198" s="165">
        <f t="shared" si="380"/>
        <v>331656.58251802647</v>
      </c>
      <c r="DC198" s="140">
        <f t="shared" si="381"/>
        <v>0.42</v>
      </c>
      <c r="DD198" s="121" t="str">
        <f>IF($C$50="NEIN","NEIN",IF(DF198&lt;DE198,"JA","NEIN"))</f>
        <v>NEIN</v>
      </c>
      <c r="DE198" s="121">
        <f>DB198*$C$46</f>
        <v>87474.423639129469</v>
      </c>
      <c r="DF198" s="121">
        <f t="shared" si="382"/>
        <v>130028.2346575711</v>
      </c>
      <c r="DG198" s="201">
        <f>IF($C$50="NEIN",DE198,IF(DD198="NEIN",DE198,DF198))</f>
        <v>87474.423639129469</v>
      </c>
    </row>
    <row r="199" spans="2:111" ht="15.75" x14ac:dyDescent="0.5">
      <c r="AB199" s="117">
        <f t="shared" si="207"/>
        <v>147</v>
      </c>
      <c r="AC199" s="117">
        <f t="shared" si="208"/>
        <v>2140</v>
      </c>
      <c r="AD199" s="299">
        <f>IF($C$20="NEIN",$C$21,IF($C$22="JA",'HISTORISCHE RENDITEN'!E123,'HISTORISCHE RENDITEN'!D123))</f>
        <v>0.2039</v>
      </c>
      <c r="AE199" s="129">
        <f t="shared" si="278"/>
        <v>147</v>
      </c>
      <c r="AF199" s="120">
        <f t="shared" si="340"/>
        <v>2140</v>
      </c>
      <c r="AG199" s="122">
        <f t="shared" si="341"/>
        <v>0</v>
      </c>
      <c r="AH199" s="124">
        <f t="shared" si="342"/>
        <v>430891.77838569693</v>
      </c>
      <c r="AI199" s="296">
        <f t="shared" si="343"/>
        <v>-72257963.893964782</v>
      </c>
      <c r="AJ199" s="123">
        <f t="shared" si="233"/>
        <v>0</v>
      </c>
      <c r="AK199" s="124">
        <f t="shared" si="344"/>
        <v>-86991362.731944203</v>
      </c>
      <c r="AL199" s="122">
        <f t="shared" si="345"/>
        <v>-14733398.837979421</v>
      </c>
      <c r="AM199" s="122" t="b">
        <f>IF($C$25="Ausschütter",0,IF(AL199&gt;=0,(AI199+AJ199)*$C$48*0.7))</f>
        <v>0</v>
      </c>
      <c r="AN199" s="122">
        <f t="shared" si="323"/>
        <v>0</v>
      </c>
      <c r="AO199" s="122">
        <f t="shared" si="212"/>
        <v>0</v>
      </c>
      <c r="AP199" s="122">
        <f t="shared" si="346"/>
        <v>-96461.734846464402</v>
      </c>
      <c r="AQ199" s="122">
        <f>IF($C$25="AUSSCHÜTTER",0,IF(AO199*$C$46*$C$49&lt;=$C$47,0,AO199*$C$46*$C$49))</f>
        <v>0</v>
      </c>
      <c r="AR199" s="122">
        <f>IF(AO198*$C$49&gt;$C$47,(AN199)*$C$49*$C$46,IF((AO198+AN199)*$C$49&gt;$C$47,((AO198+AN199)*$C$49-$C$47)*$C$46,0))</f>
        <v>0</v>
      </c>
      <c r="AS199" s="122">
        <f t="shared" si="347"/>
        <v>0</v>
      </c>
      <c r="AT199" s="122">
        <f t="shared" si="348"/>
        <v>430891.77838569693</v>
      </c>
      <c r="AU199" s="122">
        <f t="shared" si="349"/>
        <v>0</v>
      </c>
      <c r="AV199" s="122">
        <f t="shared" si="350"/>
        <v>-86991362.731944203</v>
      </c>
      <c r="AW199" s="122">
        <f t="shared" si="335"/>
        <v>0</v>
      </c>
      <c r="AX199" s="130">
        <f t="shared" si="336"/>
        <v>0</v>
      </c>
      <c r="AY199" s="82">
        <f>IF(AF199&lt;$C$11,$C$15*(1+$C$19)^(AF199-$C$10),0)</f>
        <v>0</v>
      </c>
      <c r="AZ199" s="82">
        <f>$C$14*(1+$C$37)^(AF199-$C$10)</f>
        <v>339947.99708097713</v>
      </c>
      <c r="BA199" s="165">
        <f>IF(AF199&lt;$C$11,0,MAX($C$38*AI199,AZ199))</f>
        <v>339947.99708097713</v>
      </c>
      <c r="BB199" s="82">
        <f>IF(AF199&lt;$C$11,0,MAX($C$38*AI199,AZ199))</f>
        <v>339947.99708097713</v>
      </c>
      <c r="BC199" s="136">
        <f>IF($C$39="JA",CT199,DG199)</f>
        <v>89661.284230107718</v>
      </c>
      <c r="BD199" s="82">
        <f t="shared" si="324"/>
        <v>0</v>
      </c>
      <c r="BE199" s="82">
        <f>IF(AF199&lt;($C$8+$C$30),0,$C$29*12*(1-$C$31))</f>
        <v>0</v>
      </c>
      <c r="BF199" s="82">
        <f>IF(AF199&lt;($C$8+$C$34),0,$C$33*12*(1-$C$35))</f>
        <v>0</v>
      </c>
      <c r="BG199" s="82">
        <f>IF(AF199&lt;$C$11,0,IF(AI199&lt;0,$C$42*(1+$C$44)^(AF199-$C$10),IF(((AL199+BE199+BF199)*$C$41)&lt;$C$42*(1+$C$44)^(AF199-$C$10),$C$42*(1+$C$44)^(AF199-$C$10),IF(((AL199+BE199+BF199)*$C$41)&lt;$C$43*(1+$C$44)^(AF199-$C$10),(AL199+BE199+BF199)*$C$41,IF(((AL199+BE199+BF199+BB199)*$C$41)&lt;$C$43*(1+$C$44)^(AF199-$C$10),((AL199+BE199+BF199+BB199)*$C$41),$C$43*(1+$C$44)^(AF199-$C$10))))))</f>
        <v>14114.655067557847</v>
      </c>
      <c r="BH199" s="82">
        <f t="shared" si="238"/>
        <v>443723.93637864268</v>
      </c>
      <c r="BI199" s="242">
        <f t="shared" si="351"/>
        <v>-86991362.731944203</v>
      </c>
      <c r="BJ199" s="217">
        <f t="shared" si="352"/>
        <v>-87435086.668322846</v>
      </c>
      <c r="BK199" s="118"/>
      <c r="BL199" s="219">
        <f t="shared" si="353"/>
        <v>103</v>
      </c>
      <c r="BM199" s="220">
        <f t="shared" si="354"/>
        <v>120</v>
      </c>
      <c r="BN199" s="220">
        <f t="shared" si="355"/>
        <v>0</v>
      </c>
      <c r="BO199" s="221">
        <f t="shared" si="356"/>
        <v>0</v>
      </c>
      <c r="BP199" s="221">
        <f t="shared" si="357"/>
        <v>0</v>
      </c>
      <c r="BQ199" s="222">
        <f t="shared" si="358"/>
        <v>0</v>
      </c>
      <c r="BR199" s="223">
        <f>IF(BM199&lt;$C$11-$C$10+1,0,IF(BL199&lt;=$C$13,VLOOKUP(BL199,$BN$80:$BQ$156,2,FALSE)-BS199,0))</f>
        <v>0</v>
      </c>
      <c r="BS199" s="223">
        <f>IF(BM199&lt;$C$11-$C$10+1,0,IF(BL199&lt;=$C$13,VLOOKUP(BL199,$BN$80:$BQ$156,3,FALSE),0))</f>
        <v>0</v>
      </c>
      <c r="BT199" s="222">
        <f>IF(BM199&lt;$C$11-$C$10+1,0,IF(BL199&lt;=$C$13,VLOOKUP(BL199,$BN$80:$BQ$156,4,FALSE),0))</f>
        <v>0</v>
      </c>
      <c r="BU199" s="223">
        <f t="shared" si="359"/>
        <v>0</v>
      </c>
      <c r="BV199" s="223">
        <f t="shared" si="360"/>
        <v>0</v>
      </c>
      <c r="BW199" s="223">
        <f t="shared" si="361"/>
        <v>0</v>
      </c>
      <c r="BX199" s="223">
        <f>IF(AND(BS199&lt;=0,BN199=0),MIN((MAX($BZ$80:$BZ$156)-SUM($BX$80:BX198)),CA199),IF(BS199&lt;CA199,BS199,CA199))</f>
        <v>0</v>
      </c>
      <c r="BY199" s="222">
        <f>IF(BN199&gt;0,0,IF(AND(BN199=0,BT199&lt;=0),100%,((BW198*(AVERAGE($BT$80:BT198))+(BR199*BT199))/(BR199+BW198+BS199+BV198))))</f>
        <v>1</v>
      </c>
      <c r="BZ199" s="139">
        <f t="shared" si="362"/>
        <v>430891.77838569693</v>
      </c>
      <c r="CA199" s="122">
        <f t="shared" si="363"/>
        <v>339947.99708097713</v>
      </c>
      <c r="CB199" s="181">
        <f t="shared" si="364"/>
        <v>1</v>
      </c>
      <c r="CC199" s="122">
        <f t="shared" si="365"/>
        <v>13030110.429742718</v>
      </c>
      <c r="CD199" s="182">
        <f t="shared" si="366"/>
        <v>0</v>
      </c>
      <c r="CE199" s="122">
        <f t="shared" si="367"/>
        <v>430891.77838569693</v>
      </c>
      <c r="CF199" s="122">
        <f t="shared" si="368"/>
        <v>0</v>
      </c>
      <c r="CG199" s="122" t="str">
        <f t="shared" si="369"/>
        <v/>
      </c>
      <c r="CH199" s="140">
        <f t="shared" si="370"/>
        <v>1</v>
      </c>
      <c r="CI199" s="142">
        <f t="shared" si="371"/>
        <v>9984</v>
      </c>
      <c r="CJ199" s="134">
        <f>CI199*$C$57</f>
        <v>0</v>
      </c>
      <c r="CK199" s="142">
        <f t="shared" si="372"/>
        <v>14926</v>
      </c>
      <c r="CL199" s="134">
        <f>CK199*$C$57</f>
        <v>0</v>
      </c>
      <c r="CM199" s="142">
        <f t="shared" si="373"/>
        <v>58596</v>
      </c>
      <c r="CN199" s="134">
        <f>CM199*$C$57</f>
        <v>0</v>
      </c>
      <c r="CO199" s="132">
        <f t="shared" si="374"/>
        <v>339947.99708097713</v>
      </c>
      <c r="CP199" s="140">
        <f t="shared" si="375"/>
        <v>0.42</v>
      </c>
      <c r="CQ199" s="121" t="str">
        <f>IF($C$50="NEIN","NEIN",IF(CS199&lt;CR199,"JA","NEIN"))</f>
        <v>NEIN</v>
      </c>
      <c r="CR199" s="121">
        <f>CO199*$C$46</f>
        <v>89661.284230107718</v>
      </c>
      <c r="CS199" s="121">
        <f t="shared" si="376"/>
        <v>133510.6287740104</v>
      </c>
      <c r="CT199" s="201">
        <f>IF($C$50="NEIN",CR199,IF(CQ199="NEIN",CR199,CS199))</f>
        <v>89661.284230107718</v>
      </c>
      <c r="CU199" s="149"/>
      <c r="CV199" s="202">
        <f t="shared" si="377"/>
        <v>9984</v>
      </c>
      <c r="CW199" s="134">
        <f>CV199*$C$57</f>
        <v>0</v>
      </c>
      <c r="CX199" s="142">
        <f t="shared" si="378"/>
        <v>14926</v>
      </c>
      <c r="CY199" s="134">
        <f>CX199*$C$57</f>
        <v>0</v>
      </c>
      <c r="CZ199" s="142">
        <f t="shared" si="379"/>
        <v>58596</v>
      </c>
      <c r="DA199" s="143">
        <f>CZ199*$C$57</f>
        <v>0</v>
      </c>
      <c r="DB199" s="165">
        <f t="shared" si="380"/>
        <v>339947.99708097713</v>
      </c>
      <c r="DC199" s="140">
        <f t="shared" si="381"/>
        <v>0.42</v>
      </c>
      <c r="DD199" s="121" t="str">
        <f>IF($C$50="NEIN","NEIN",IF(DF199&lt;DE199,"JA","NEIN"))</f>
        <v>NEIN</v>
      </c>
      <c r="DE199" s="121">
        <f>DB199*$C$46</f>
        <v>89661.284230107718</v>
      </c>
      <c r="DF199" s="121">
        <f t="shared" si="382"/>
        <v>133510.6287740104</v>
      </c>
      <c r="DG199" s="201">
        <f>IF($C$50="NEIN",DE199,IF(DD199="NEIN",DE199,DF199))</f>
        <v>89661.284230107718</v>
      </c>
    </row>
  </sheetData>
  <sheetProtection algorithmName="SHA-512" hashValue="LfMFqwQZgrgEV19D6egN91Wq62tLbVnUlPrJlyJz0mJ2HUDlpesoJcU5mrHAbED7yl5scBmIcCs4ofsMe/ccGw==" saltValue="/7TIWumGWAGjyOdnDNyx+g==" spinCount="100000" sheet="1" objects="1" scenarios="1"/>
  <mergeCells count="5">
    <mergeCell ref="BL68:CT78"/>
    <mergeCell ref="AD66:BJ78"/>
    <mergeCell ref="E2:M3"/>
    <mergeCell ref="BZ66:CF66"/>
    <mergeCell ref="CV78:DG78"/>
  </mergeCells>
  <conditionalFormatting sqref="EQ80:EQ180">
    <cfRule type="cellIs" dxfId="16" priority="19" operator="lessThan">
      <formula>0</formula>
    </cfRule>
  </conditionalFormatting>
  <conditionalFormatting sqref="DS80:DS179">
    <cfRule type="cellIs" dxfId="15" priority="18" operator="lessThan">
      <formula>0</formula>
    </cfRule>
  </conditionalFormatting>
  <conditionalFormatting sqref="FN80">
    <cfRule type="cellIs" dxfId="14" priority="16" operator="lessThan">
      <formula>0</formula>
    </cfRule>
  </conditionalFormatting>
  <conditionalFormatting sqref="FN81:FN179">
    <cfRule type="cellIs" dxfId="13" priority="17" operator="lessThan">
      <formula>0</formula>
    </cfRule>
  </conditionalFormatting>
  <conditionalFormatting sqref="GM80:GM179">
    <cfRule type="cellIs" dxfId="12" priority="15" operator="lessThan">
      <formula>0</formula>
    </cfRule>
  </conditionalFormatting>
  <conditionalFormatting sqref="U143:U197">
    <cfRule type="cellIs" dxfId="11" priority="14" operator="lessThan">
      <formula>0</formula>
    </cfRule>
  </conditionalFormatting>
  <conditionalFormatting sqref="AJ80">
    <cfRule type="cellIs" dxfId="10" priority="13" operator="lessThan">
      <formula>0</formula>
    </cfRule>
  </conditionalFormatting>
  <conditionalFormatting sqref="AJ81:AJ199">
    <cfRule type="cellIs" dxfId="9" priority="11" operator="lessThan">
      <formula>0</formula>
    </cfRule>
  </conditionalFormatting>
  <conditionalFormatting sqref="CU80:CU199 CG80:CH199">
    <cfRule type="containsText" dxfId="8" priority="10" operator="containsText" text="JA">
      <formula>NOT(ISERROR(SEARCH("JA",CG80)))</formula>
    </cfRule>
  </conditionalFormatting>
  <conditionalFormatting sqref="C21">
    <cfRule type="expression" dxfId="7" priority="9">
      <formula>$C$20="JA"</formula>
    </cfRule>
  </conditionalFormatting>
  <conditionalFormatting sqref="C22">
    <cfRule type="expression" dxfId="6" priority="8">
      <formula>$C$20="NEIN"</formula>
    </cfRule>
  </conditionalFormatting>
  <conditionalFormatting sqref="C30:C31">
    <cfRule type="expression" dxfId="5" priority="7">
      <formula>$C$29=0</formula>
    </cfRule>
  </conditionalFormatting>
  <conditionalFormatting sqref="C34:C35">
    <cfRule type="expression" dxfId="4" priority="5">
      <formula>$C$33=0</formula>
    </cfRule>
  </conditionalFormatting>
  <conditionalFormatting sqref="C27">
    <cfRule type="expression" dxfId="3" priority="4">
      <formula>$C$25="Thesaurierer"</formula>
    </cfRule>
  </conditionalFormatting>
  <conditionalFormatting sqref="C26">
    <cfRule type="expression" dxfId="2" priority="3">
      <formula>$C$25="Thesaurierer"</formula>
    </cfRule>
  </conditionalFormatting>
  <conditionalFormatting sqref="C51:C57">
    <cfRule type="expression" dxfId="1" priority="2">
      <formula>$C$50="NEIN"</formula>
    </cfRule>
  </conditionalFormatting>
  <conditionalFormatting sqref="C48:C49">
    <cfRule type="expression" dxfId="0" priority="20">
      <formula>$C$25="AUSSCHÜTTER"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DROPDOWN!$B$3:$B$4</xm:f>
          </x14:formula1>
          <xm:sqref>C25</xm:sqref>
        </x14:dataValidation>
        <x14:dataValidation type="list" allowBlank="1" showInputMessage="1" showErrorMessage="1">
          <x14:formula1>
            <xm:f>DROPDOWN!$C$3:$C$4</xm:f>
          </x14:formula1>
          <xm:sqref>C27 C22 C20 C39 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5"/>
  <sheetViews>
    <sheetView workbookViewId="0">
      <selection activeCell="B5" sqref="B5"/>
    </sheetView>
  </sheetViews>
  <sheetFormatPr baseColWidth="10" defaultRowHeight="14.25" x14ac:dyDescent="0.45"/>
  <cols>
    <col min="2" max="2" width="19.1328125" customWidth="1"/>
  </cols>
  <sheetData>
    <row r="1" spans="1:3" ht="28.5" x14ac:dyDescent="0.85">
      <c r="A1" s="94" t="s">
        <v>86</v>
      </c>
    </row>
    <row r="3" spans="1:3" x14ac:dyDescent="0.45">
      <c r="B3" s="93" t="s">
        <v>85</v>
      </c>
      <c r="C3" t="s">
        <v>35</v>
      </c>
    </row>
    <row r="4" spans="1:3" x14ac:dyDescent="0.45">
      <c r="B4" s="93" t="s">
        <v>5</v>
      </c>
      <c r="C4" t="s">
        <v>36</v>
      </c>
    </row>
    <row r="5" spans="1:3" x14ac:dyDescent="0.45">
      <c r="B5" s="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499984740745262"/>
  </sheetPr>
  <dimension ref="A1:E211"/>
  <sheetViews>
    <sheetView workbookViewId="0">
      <pane ySplit="3" topLeftCell="A34" activePane="bottomLeft" state="frozen"/>
      <selection pane="bottomLeft" activeCell="A56" sqref="A56:B56"/>
    </sheetView>
  </sheetViews>
  <sheetFormatPr baseColWidth="10" defaultRowHeight="14.25" x14ac:dyDescent="0.45"/>
  <cols>
    <col min="1" max="1" width="12.46484375" customWidth="1"/>
    <col min="2" max="2" width="13.9296875" customWidth="1"/>
    <col min="3" max="5" width="24.53125" customWidth="1"/>
  </cols>
  <sheetData>
    <row r="1" spans="1:5" x14ac:dyDescent="0.45">
      <c r="A1" t="s">
        <v>159</v>
      </c>
    </row>
    <row r="2" spans="1:5" x14ac:dyDescent="0.45">
      <c r="A2" s="315" t="s">
        <v>156</v>
      </c>
      <c r="B2" s="315"/>
      <c r="C2" s="316" t="s">
        <v>162</v>
      </c>
      <c r="D2" s="316"/>
    </row>
    <row r="3" spans="1:5" x14ac:dyDescent="0.45">
      <c r="A3" s="342" t="s">
        <v>157</v>
      </c>
      <c r="B3" s="342" t="s">
        <v>158</v>
      </c>
      <c r="C3" s="339" t="s">
        <v>160</v>
      </c>
      <c r="D3" s="339" t="s">
        <v>161</v>
      </c>
      <c r="E3" s="340" t="s">
        <v>163</v>
      </c>
    </row>
    <row r="4" spans="1:5" x14ac:dyDescent="0.45">
      <c r="A4" s="343">
        <v>1970</v>
      </c>
      <c r="B4" s="344">
        <v>-5.7099999999999998E-2</v>
      </c>
      <c r="C4" s="340">
        <f>FINANZPLAN!C23</f>
        <v>1978</v>
      </c>
      <c r="D4" s="341">
        <f>VLOOKUP(C4,$A$4:$B$184,2,FALSE)</f>
        <v>0.1268</v>
      </c>
      <c r="E4" s="341">
        <f ca="1">INDEX($B$4:$B$55,RANDBETWEEN(1,COUNTA($B$4:$B$55)))</f>
        <v>0.26979999999999998</v>
      </c>
    </row>
    <row r="5" spans="1:5" x14ac:dyDescent="0.45">
      <c r="A5" s="343">
        <v>1971</v>
      </c>
      <c r="B5" s="344">
        <v>0.15590000000000001</v>
      </c>
      <c r="C5" s="340">
        <f>C4+1</f>
        <v>1979</v>
      </c>
      <c r="D5" s="341">
        <f t="shared" ref="D5:D68" si="0">VLOOKUP(C5,$A$4:$B$184,2,FALSE)</f>
        <v>7.2099999999999997E-2</v>
      </c>
      <c r="E5" s="341">
        <f t="shared" ref="E5:E68" ca="1" si="1">INDEX($B$4:$B$55,RANDBETWEEN(1,COUNTA($B$4:$B$55)))</f>
        <v>0.11720000000000001</v>
      </c>
    </row>
    <row r="6" spans="1:5" x14ac:dyDescent="0.45">
      <c r="A6" s="343">
        <v>1972</v>
      </c>
      <c r="B6" s="344">
        <v>0.1996</v>
      </c>
      <c r="C6" s="340">
        <f t="shared" ref="C6:C69" si="2">C5+1</f>
        <v>1980</v>
      </c>
      <c r="D6" s="341">
        <f t="shared" si="0"/>
        <v>0.21460000000000001</v>
      </c>
      <c r="E6" s="341">
        <f t="shared" ca="1" si="1"/>
        <v>0.17949999999999999</v>
      </c>
    </row>
    <row r="7" spans="1:5" x14ac:dyDescent="0.45">
      <c r="A7" s="343">
        <v>1973</v>
      </c>
      <c r="B7" s="344">
        <v>-0.17079999999999998</v>
      </c>
      <c r="C7" s="340">
        <f t="shared" si="2"/>
        <v>1981</v>
      </c>
      <c r="D7" s="341">
        <f t="shared" si="0"/>
        <v>-7.9199999999999993E-2</v>
      </c>
      <c r="E7" s="341">
        <f t="shared" ca="1" si="1"/>
        <v>0.2278</v>
      </c>
    </row>
    <row r="8" spans="1:5" x14ac:dyDescent="0.45">
      <c r="A8" s="343">
        <v>1974</v>
      </c>
      <c r="B8" s="344">
        <v>-0.27829999999999999</v>
      </c>
      <c r="C8" s="340">
        <f t="shared" si="2"/>
        <v>1982</v>
      </c>
      <c r="D8" s="341">
        <f t="shared" si="0"/>
        <v>5.8200000000000002E-2</v>
      </c>
      <c r="E8" s="341">
        <f t="shared" ca="1" si="1"/>
        <v>0.16</v>
      </c>
    </row>
    <row r="9" spans="1:5" x14ac:dyDescent="0.45">
      <c r="A9" s="343">
        <v>1975</v>
      </c>
      <c r="B9" s="344">
        <v>0.28910000000000002</v>
      </c>
      <c r="C9" s="340">
        <f t="shared" si="2"/>
        <v>1983</v>
      </c>
      <c r="D9" s="341">
        <f t="shared" si="0"/>
        <v>0.18559999999999999</v>
      </c>
      <c r="E9" s="341">
        <f t="shared" ca="1" si="1"/>
        <v>0.28910000000000002</v>
      </c>
    </row>
    <row r="10" spans="1:5" x14ac:dyDescent="0.45">
      <c r="A10" s="343">
        <v>1976</v>
      </c>
      <c r="B10" s="344">
        <v>0.10310000000000001</v>
      </c>
      <c r="C10" s="340">
        <f t="shared" si="2"/>
        <v>1984</v>
      </c>
      <c r="D10" s="341">
        <f t="shared" si="0"/>
        <v>1.77E-2</v>
      </c>
      <c r="E10" s="341">
        <f t="shared" ca="1" si="1"/>
        <v>9.5500000000000002E-2</v>
      </c>
    </row>
    <row r="11" spans="1:5" x14ac:dyDescent="0.45">
      <c r="A11" s="343">
        <v>1977</v>
      </c>
      <c r="B11" s="344">
        <v>-2.46E-2</v>
      </c>
      <c r="C11" s="340">
        <f t="shared" si="2"/>
        <v>1985</v>
      </c>
      <c r="D11" s="341">
        <f t="shared" si="0"/>
        <v>0.37020000000000003</v>
      </c>
      <c r="E11" s="341">
        <f t="shared" ca="1" si="1"/>
        <v>-2.7400000000000001E-2</v>
      </c>
    </row>
    <row r="12" spans="1:5" x14ac:dyDescent="0.45">
      <c r="A12" s="343">
        <v>1978</v>
      </c>
      <c r="B12" s="344">
        <v>0.1268</v>
      </c>
      <c r="C12" s="340">
        <f t="shared" si="2"/>
        <v>1986</v>
      </c>
      <c r="D12" s="341">
        <f t="shared" si="0"/>
        <v>0.3911</v>
      </c>
      <c r="E12" s="341">
        <f t="shared" ca="1" si="1"/>
        <v>0.1268</v>
      </c>
    </row>
    <row r="13" spans="1:5" x14ac:dyDescent="0.45">
      <c r="A13" s="343">
        <v>1979</v>
      </c>
      <c r="B13" s="344">
        <v>7.2099999999999997E-2</v>
      </c>
      <c r="C13" s="340">
        <f t="shared" si="2"/>
        <v>1987</v>
      </c>
      <c r="D13" s="341">
        <f t="shared" si="0"/>
        <v>0.1434</v>
      </c>
      <c r="E13" s="341">
        <f t="shared" ca="1" si="1"/>
        <v>9.5500000000000002E-2</v>
      </c>
    </row>
    <row r="14" spans="1:5" x14ac:dyDescent="0.45">
      <c r="A14" s="343">
        <v>1980</v>
      </c>
      <c r="B14" s="344">
        <v>0.21460000000000001</v>
      </c>
      <c r="C14" s="340">
        <f t="shared" si="2"/>
        <v>1988</v>
      </c>
      <c r="D14" s="341">
        <f t="shared" si="0"/>
        <v>0.21190000000000001</v>
      </c>
      <c r="E14" s="341">
        <f t="shared" ca="1" si="1"/>
        <v>0.28910000000000002</v>
      </c>
    </row>
    <row r="15" spans="1:5" x14ac:dyDescent="0.45">
      <c r="A15" s="343">
        <v>1981</v>
      </c>
      <c r="B15" s="344">
        <v>-7.9199999999999993E-2</v>
      </c>
      <c r="C15" s="340">
        <f t="shared" si="2"/>
        <v>1989</v>
      </c>
      <c r="D15" s="341">
        <f t="shared" si="0"/>
        <v>0.14749999999999999</v>
      </c>
      <c r="E15" s="341">
        <f t="shared" ca="1" si="1"/>
        <v>2.9300000000000003E-2</v>
      </c>
    </row>
    <row r="16" spans="1:5" x14ac:dyDescent="0.45">
      <c r="A16" s="343">
        <v>1982</v>
      </c>
      <c r="B16" s="344">
        <v>5.8200000000000002E-2</v>
      </c>
      <c r="C16" s="340">
        <f t="shared" si="2"/>
        <v>1990</v>
      </c>
      <c r="D16" s="341">
        <f t="shared" si="0"/>
        <v>-0.1865</v>
      </c>
      <c r="E16" s="341">
        <f t="shared" ca="1" si="1"/>
        <v>0.1434</v>
      </c>
    </row>
    <row r="17" spans="1:5" x14ac:dyDescent="0.45">
      <c r="A17" s="343">
        <v>1983</v>
      </c>
      <c r="B17" s="344">
        <v>0.18559999999999999</v>
      </c>
      <c r="C17" s="340">
        <f t="shared" si="2"/>
        <v>1991</v>
      </c>
      <c r="D17" s="341">
        <f t="shared" si="0"/>
        <v>0.16</v>
      </c>
      <c r="E17" s="341">
        <f t="shared" ca="1" si="1"/>
        <v>0.14169999999999999</v>
      </c>
    </row>
    <row r="18" spans="1:5" x14ac:dyDescent="0.45">
      <c r="A18" s="343">
        <v>1984</v>
      </c>
      <c r="B18" s="344">
        <v>1.77E-2</v>
      </c>
      <c r="C18" s="340">
        <f t="shared" si="2"/>
        <v>1992</v>
      </c>
      <c r="D18" s="341">
        <f t="shared" si="0"/>
        <v>-7.1399999999999991E-2</v>
      </c>
      <c r="E18" s="341">
        <f t="shared" ca="1" si="1"/>
        <v>-7.1399999999999991E-2</v>
      </c>
    </row>
    <row r="19" spans="1:5" x14ac:dyDescent="0.45">
      <c r="A19" s="343">
        <v>1985</v>
      </c>
      <c r="B19" s="344">
        <v>0.37020000000000003</v>
      </c>
      <c r="C19" s="340">
        <f t="shared" si="2"/>
        <v>1993</v>
      </c>
      <c r="D19" s="341">
        <f t="shared" si="0"/>
        <v>0.2039</v>
      </c>
      <c r="E19" s="341">
        <f t="shared" ca="1" si="1"/>
        <v>-0.17829999999999999</v>
      </c>
    </row>
    <row r="20" spans="1:5" x14ac:dyDescent="0.45">
      <c r="A20" s="343">
        <v>1986</v>
      </c>
      <c r="B20" s="344">
        <v>0.3911</v>
      </c>
      <c r="C20" s="340">
        <f t="shared" si="2"/>
        <v>1994</v>
      </c>
      <c r="D20" s="341">
        <f t="shared" si="0"/>
        <v>3.3599999999999998E-2</v>
      </c>
      <c r="E20" s="341">
        <f t="shared" ca="1" si="1"/>
        <v>-0.17079999999999998</v>
      </c>
    </row>
    <row r="21" spans="1:5" x14ac:dyDescent="0.45">
      <c r="A21" s="343">
        <v>1987</v>
      </c>
      <c r="B21" s="344">
        <v>0.1434</v>
      </c>
      <c r="C21" s="340">
        <f t="shared" si="2"/>
        <v>1995</v>
      </c>
      <c r="D21" s="341">
        <f t="shared" si="0"/>
        <v>0.187</v>
      </c>
      <c r="E21" s="341">
        <f t="shared" ca="1" si="1"/>
        <v>-0.42080000000000001</v>
      </c>
    </row>
    <row r="22" spans="1:5" x14ac:dyDescent="0.45">
      <c r="A22" s="343">
        <v>1988</v>
      </c>
      <c r="B22" s="344">
        <v>0.21190000000000001</v>
      </c>
      <c r="C22" s="340">
        <f t="shared" si="2"/>
        <v>1996</v>
      </c>
      <c r="D22" s="341">
        <f t="shared" si="0"/>
        <v>0.11720000000000001</v>
      </c>
      <c r="E22" s="341">
        <f t="shared" ca="1" si="1"/>
        <v>0.16</v>
      </c>
    </row>
    <row r="23" spans="1:5" x14ac:dyDescent="0.45">
      <c r="A23" s="343">
        <v>1989</v>
      </c>
      <c r="B23" s="344">
        <v>0.14749999999999999</v>
      </c>
      <c r="C23" s="340">
        <f t="shared" si="2"/>
        <v>1997</v>
      </c>
      <c r="D23" s="341">
        <f t="shared" si="0"/>
        <v>0.14169999999999999</v>
      </c>
      <c r="E23" s="341">
        <f t="shared" ca="1" si="1"/>
        <v>-2.7400000000000001E-2</v>
      </c>
    </row>
    <row r="24" spans="1:5" x14ac:dyDescent="0.45">
      <c r="A24" s="343">
        <v>1990</v>
      </c>
      <c r="B24" s="344">
        <v>-0.1865</v>
      </c>
      <c r="C24" s="340">
        <f t="shared" si="2"/>
        <v>1998</v>
      </c>
      <c r="D24" s="341">
        <f t="shared" si="0"/>
        <v>0.2278</v>
      </c>
      <c r="E24" s="341">
        <f t="shared" ca="1" si="1"/>
        <v>0.187</v>
      </c>
    </row>
    <row r="25" spans="1:5" x14ac:dyDescent="0.45">
      <c r="A25" s="343">
        <v>1991</v>
      </c>
      <c r="B25" s="344">
        <v>0.16</v>
      </c>
      <c r="C25" s="340">
        <f t="shared" si="2"/>
        <v>1999</v>
      </c>
      <c r="D25" s="341">
        <f t="shared" si="0"/>
        <v>0.23559999999999998</v>
      </c>
      <c r="E25" s="341">
        <f t="shared" ca="1" si="1"/>
        <v>0.21190000000000001</v>
      </c>
    </row>
    <row r="26" spans="1:5" x14ac:dyDescent="0.45">
      <c r="A26" s="343">
        <v>1992</v>
      </c>
      <c r="B26" s="344">
        <v>-7.1399999999999991E-2</v>
      </c>
      <c r="C26" s="340">
        <f t="shared" si="2"/>
        <v>2000</v>
      </c>
      <c r="D26" s="341">
        <f t="shared" si="0"/>
        <v>-0.14050000000000001</v>
      </c>
      <c r="E26" s="341">
        <f t="shared" ca="1" si="1"/>
        <v>-7.1399999999999991E-2</v>
      </c>
    </row>
    <row r="27" spans="1:5" x14ac:dyDescent="0.45">
      <c r="A27" s="343">
        <v>1993</v>
      </c>
      <c r="B27" s="344">
        <v>0.2039</v>
      </c>
      <c r="C27" s="340">
        <f t="shared" si="2"/>
        <v>2001</v>
      </c>
      <c r="D27" s="341">
        <f t="shared" si="0"/>
        <v>-0.17829999999999999</v>
      </c>
      <c r="E27" s="341">
        <f t="shared" ca="1" si="1"/>
        <v>0.23559999999999998</v>
      </c>
    </row>
    <row r="28" spans="1:5" x14ac:dyDescent="0.45">
      <c r="A28" s="343">
        <v>1994</v>
      </c>
      <c r="B28" s="344">
        <v>3.3599999999999998E-2</v>
      </c>
      <c r="C28" s="340">
        <f t="shared" si="2"/>
        <v>2002</v>
      </c>
      <c r="D28" s="341">
        <f t="shared" si="0"/>
        <v>-0.21059999999999998</v>
      </c>
      <c r="E28" s="341">
        <f t="shared" ca="1" si="1"/>
        <v>-0.17829999999999999</v>
      </c>
    </row>
    <row r="29" spans="1:5" x14ac:dyDescent="0.45">
      <c r="A29" s="343">
        <v>1995</v>
      </c>
      <c r="B29" s="344">
        <v>0.187</v>
      </c>
      <c r="C29" s="340">
        <f t="shared" si="2"/>
        <v>2003</v>
      </c>
      <c r="D29" s="341">
        <f t="shared" si="0"/>
        <v>0.30809999999999998</v>
      </c>
      <c r="E29" s="341">
        <f t="shared" ca="1" si="1"/>
        <v>0.24100000000000002</v>
      </c>
    </row>
    <row r="30" spans="1:5" x14ac:dyDescent="0.45">
      <c r="A30" s="343">
        <v>1996</v>
      </c>
      <c r="B30" s="344">
        <v>0.11720000000000001</v>
      </c>
      <c r="C30" s="340">
        <f t="shared" si="2"/>
        <v>2004</v>
      </c>
      <c r="D30" s="341">
        <f t="shared" si="0"/>
        <v>0.12839999999999999</v>
      </c>
      <c r="E30" s="341">
        <f t="shared" ca="1" si="1"/>
        <v>-5.7099999999999998E-2</v>
      </c>
    </row>
    <row r="31" spans="1:5" x14ac:dyDescent="0.45">
      <c r="A31" s="343">
        <v>1997</v>
      </c>
      <c r="B31" s="344">
        <v>0.14169999999999999</v>
      </c>
      <c r="C31" s="340">
        <f t="shared" si="2"/>
        <v>2005</v>
      </c>
      <c r="D31" s="341">
        <f t="shared" si="0"/>
        <v>7.5600000000000001E-2</v>
      </c>
      <c r="E31" s="341">
        <f t="shared" ca="1" si="1"/>
        <v>0.26979999999999998</v>
      </c>
    </row>
    <row r="32" spans="1:5" x14ac:dyDescent="0.45">
      <c r="A32" s="343">
        <v>1998</v>
      </c>
      <c r="B32" s="344">
        <v>0.2278</v>
      </c>
      <c r="C32" s="340">
        <f t="shared" si="2"/>
        <v>2006</v>
      </c>
      <c r="D32" s="341">
        <f t="shared" si="0"/>
        <v>0.17949999999999999</v>
      </c>
      <c r="E32" s="341">
        <f t="shared" ca="1" si="1"/>
        <v>-2.46E-2</v>
      </c>
    </row>
    <row r="33" spans="1:5" x14ac:dyDescent="0.45">
      <c r="A33" s="343">
        <v>1999</v>
      </c>
      <c r="B33" s="344">
        <v>0.23559999999999998</v>
      </c>
      <c r="C33" s="340">
        <f t="shared" si="2"/>
        <v>2007</v>
      </c>
      <c r="D33" s="341">
        <f t="shared" si="0"/>
        <v>7.0900000000000005E-2</v>
      </c>
      <c r="E33" s="341">
        <f t="shared" ca="1" si="1"/>
        <v>5.8200000000000002E-2</v>
      </c>
    </row>
    <row r="34" spans="1:5" x14ac:dyDescent="0.45">
      <c r="A34" s="343">
        <v>2000</v>
      </c>
      <c r="B34" s="344">
        <v>-0.14050000000000001</v>
      </c>
      <c r="C34" s="340">
        <f t="shared" si="2"/>
        <v>2008</v>
      </c>
      <c r="D34" s="341">
        <f t="shared" si="0"/>
        <v>-0.42080000000000001</v>
      </c>
      <c r="E34" s="341">
        <f t="shared" ca="1" si="1"/>
        <v>0.26979999999999998</v>
      </c>
    </row>
    <row r="35" spans="1:5" x14ac:dyDescent="0.45">
      <c r="A35" s="343">
        <v>2001</v>
      </c>
      <c r="B35" s="344">
        <v>-0.17829999999999999</v>
      </c>
      <c r="C35" s="340">
        <f t="shared" si="2"/>
        <v>2009</v>
      </c>
      <c r="D35" s="341">
        <f t="shared" si="0"/>
        <v>0.26979999999999998</v>
      </c>
      <c r="E35" s="341">
        <f t="shared" ca="1" si="1"/>
        <v>-2.46E-2</v>
      </c>
    </row>
    <row r="36" spans="1:5" x14ac:dyDescent="0.45">
      <c r="A36" s="343">
        <v>2002</v>
      </c>
      <c r="B36" s="344">
        <v>-0.21059999999999998</v>
      </c>
      <c r="C36" s="340">
        <f t="shared" si="2"/>
        <v>2010</v>
      </c>
      <c r="D36" s="341">
        <f t="shared" si="0"/>
        <v>9.5500000000000002E-2</v>
      </c>
      <c r="E36" s="341">
        <f t="shared" ca="1" si="1"/>
        <v>0.187</v>
      </c>
    </row>
    <row r="37" spans="1:5" x14ac:dyDescent="0.45">
      <c r="A37" s="343">
        <v>2003</v>
      </c>
      <c r="B37" s="344">
        <v>0.30809999999999998</v>
      </c>
      <c r="C37" s="340">
        <f t="shared" si="2"/>
        <v>2011</v>
      </c>
      <c r="D37" s="341">
        <f t="shared" si="0"/>
        <v>-7.6100000000000001E-2</v>
      </c>
      <c r="E37" s="341">
        <f t="shared" ca="1" si="1"/>
        <v>-5.7099999999999998E-2</v>
      </c>
    </row>
    <row r="38" spans="1:5" x14ac:dyDescent="0.45">
      <c r="A38" s="343">
        <v>2004</v>
      </c>
      <c r="B38" s="344">
        <v>0.12839999999999999</v>
      </c>
      <c r="C38" s="340">
        <f t="shared" si="2"/>
        <v>2012</v>
      </c>
      <c r="D38" s="341">
        <f t="shared" si="0"/>
        <v>0.1318</v>
      </c>
      <c r="E38" s="341">
        <f t="shared" ca="1" si="1"/>
        <v>-5.7099999999999998E-2</v>
      </c>
    </row>
    <row r="39" spans="1:5" x14ac:dyDescent="0.45">
      <c r="A39" s="343">
        <v>2005</v>
      </c>
      <c r="B39" s="344">
        <v>7.5600000000000001E-2</v>
      </c>
      <c r="C39" s="340">
        <f t="shared" si="2"/>
        <v>2013</v>
      </c>
      <c r="D39" s="341">
        <f t="shared" si="0"/>
        <v>0.24100000000000002</v>
      </c>
      <c r="E39" s="341">
        <f t="shared" ca="1" si="1"/>
        <v>0.25190000000000001</v>
      </c>
    </row>
    <row r="40" spans="1:5" x14ac:dyDescent="0.45">
      <c r="A40" s="343">
        <v>2006</v>
      </c>
      <c r="B40" s="344">
        <v>0.17949999999999999</v>
      </c>
      <c r="C40" s="340">
        <f t="shared" si="2"/>
        <v>2014</v>
      </c>
      <c r="D40" s="341">
        <f t="shared" si="0"/>
        <v>2.9300000000000003E-2</v>
      </c>
      <c r="E40" s="341">
        <f t="shared" ca="1" si="1"/>
        <v>0.2278</v>
      </c>
    </row>
    <row r="41" spans="1:5" x14ac:dyDescent="0.45">
      <c r="A41" s="343">
        <v>2007</v>
      </c>
      <c r="B41" s="344">
        <v>7.0900000000000005E-2</v>
      </c>
      <c r="C41" s="340">
        <f t="shared" si="2"/>
        <v>2015</v>
      </c>
      <c r="D41" s="341">
        <f t="shared" si="0"/>
        <v>-2.7400000000000001E-2</v>
      </c>
      <c r="E41" s="341">
        <f t="shared" ca="1" si="1"/>
        <v>0.2014</v>
      </c>
    </row>
    <row r="42" spans="1:5" x14ac:dyDescent="0.45">
      <c r="A42" s="343">
        <v>2008</v>
      </c>
      <c r="B42" s="344">
        <v>-0.42080000000000001</v>
      </c>
      <c r="C42" s="340">
        <f t="shared" si="2"/>
        <v>2016</v>
      </c>
      <c r="D42" s="341">
        <f t="shared" si="0"/>
        <v>5.3200000000000004E-2</v>
      </c>
      <c r="E42" s="341">
        <f t="shared" ca="1" si="1"/>
        <v>-0.42080000000000001</v>
      </c>
    </row>
    <row r="43" spans="1:5" x14ac:dyDescent="0.45">
      <c r="A43" s="343">
        <v>2009</v>
      </c>
      <c r="B43" s="344">
        <v>0.26979999999999998</v>
      </c>
      <c r="C43" s="340">
        <f t="shared" si="2"/>
        <v>2017</v>
      </c>
      <c r="D43" s="341">
        <f t="shared" si="0"/>
        <v>0.2011</v>
      </c>
      <c r="E43" s="341">
        <f t="shared" ca="1" si="1"/>
        <v>-5.7099999999999998E-2</v>
      </c>
    </row>
    <row r="44" spans="1:5" x14ac:dyDescent="0.45">
      <c r="A44" s="343">
        <v>2010</v>
      </c>
      <c r="B44" s="344">
        <v>9.5500000000000002E-2</v>
      </c>
      <c r="C44" s="340">
        <f t="shared" si="2"/>
        <v>2018</v>
      </c>
      <c r="D44" s="341">
        <f t="shared" si="0"/>
        <v>-0.10439999999999999</v>
      </c>
      <c r="E44" s="341">
        <f t="shared" ca="1" si="1"/>
        <v>-0.21059999999999998</v>
      </c>
    </row>
    <row r="45" spans="1:5" x14ac:dyDescent="0.45">
      <c r="A45" s="343">
        <v>2011</v>
      </c>
      <c r="B45" s="344">
        <v>-7.6100000000000001E-2</v>
      </c>
      <c r="C45" s="340">
        <f t="shared" si="2"/>
        <v>2019</v>
      </c>
      <c r="D45" s="341">
        <f t="shared" si="0"/>
        <v>0.25190000000000001</v>
      </c>
      <c r="E45" s="341">
        <f t="shared" ca="1" si="1"/>
        <v>0.2014</v>
      </c>
    </row>
    <row r="46" spans="1:5" x14ac:dyDescent="0.45">
      <c r="A46" s="343">
        <v>2012</v>
      </c>
      <c r="B46" s="344">
        <v>0.1318</v>
      </c>
      <c r="C46" s="340">
        <f t="shared" si="2"/>
        <v>2020</v>
      </c>
      <c r="D46" s="341">
        <f t="shared" si="0"/>
        <v>0.1406</v>
      </c>
      <c r="E46" s="341">
        <f t="shared" ca="1" si="1"/>
        <v>0.30809999999999998</v>
      </c>
    </row>
    <row r="47" spans="1:5" x14ac:dyDescent="0.45">
      <c r="A47" s="343">
        <v>2013</v>
      </c>
      <c r="B47" s="344">
        <v>0.24100000000000002</v>
      </c>
      <c r="C47" s="340">
        <f t="shared" si="2"/>
        <v>2021</v>
      </c>
      <c r="D47" s="341">
        <f t="shared" si="0"/>
        <v>0.2014</v>
      </c>
      <c r="E47" s="341">
        <f t="shared" ca="1" si="1"/>
        <v>0.25190000000000001</v>
      </c>
    </row>
    <row r="48" spans="1:5" x14ac:dyDescent="0.45">
      <c r="A48" s="343">
        <v>2014</v>
      </c>
      <c r="B48" s="344">
        <v>2.9300000000000003E-2</v>
      </c>
      <c r="C48" s="340">
        <f t="shared" si="2"/>
        <v>2022</v>
      </c>
      <c r="D48" s="341">
        <f t="shared" si="0"/>
        <v>-5.7099999999999998E-2</v>
      </c>
      <c r="E48" s="341">
        <f t="shared" ca="1" si="1"/>
        <v>0.28910000000000002</v>
      </c>
    </row>
    <row r="49" spans="1:5" x14ac:dyDescent="0.45">
      <c r="A49" s="343">
        <v>2015</v>
      </c>
      <c r="B49" s="344">
        <v>-2.7400000000000001E-2</v>
      </c>
      <c r="C49" s="340">
        <f t="shared" si="2"/>
        <v>2023</v>
      </c>
      <c r="D49" s="341">
        <f t="shared" si="0"/>
        <v>0.15590000000000001</v>
      </c>
      <c r="E49" s="341">
        <f t="shared" ca="1" si="1"/>
        <v>0.10310000000000001</v>
      </c>
    </row>
    <row r="50" spans="1:5" x14ac:dyDescent="0.45">
      <c r="A50" s="343">
        <v>2016</v>
      </c>
      <c r="B50" s="344">
        <v>5.3200000000000004E-2</v>
      </c>
      <c r="C50" s="340">
        <f t="shared" si="2"/>
        <v>2024</v>
      </c>
      <c r="D50" s="341">
        <f t="shared" si="0"/>
        <v>0.1996</v>
      </c>
      <c r="E50" s="341">
        <f t="shared" ca="1" si="1"/>
        <v>-7.6100000000000001E-2</v>
      </c>
    </row>
    <row r="51" spans="1:5" x14ac:dyDescent="0.45">
      <c r="A51" s="343">
        <v>2017</v>
      </c>
      <c r="B51" s="344">
        <v>0.2011</v>
      </c>
      <c r="C51" s="340">
        <f t="shared" si="2"/>
        <v>2025</v>
      </c>
      <c r="D51" s="341">
        <f t="shared" si="0"/>
        <v>-0.17079999999999998</v>
      </c>
      <c r="E51" s="341">
        <f t="shared" ca="1" si="1"/>
        <v>-7.9199999999999993E-2</v>
      </c>
    </row>
    <row r="52" spans="1:5" x14ac:dyDescent="0.45">
      <c r="A52" s="343">
        <v>2018</v>
      </c>
      <c r="B52" s="344">
        <v>-0.10439999999999999</v>
      </c>
      <c r="C52" s="340">
        <f t="shared" si="2"/>
        <v>2026</v>
      </c>
      <c r="D52" s="341">
        <f t="shared" si="0"/>
        <v>-0.27829999999999999</v>
      </c>
      <c r="E52" s="341">
        <f t="shared" ca="1" si="1"/>
        <v>3.3599999999999998E-2</v>
      </c>
    </row>
    <row r="53" spans="1:5" x14ac:dyDescent="0.45">
      <c r="A53" s="343">
        <v>2019</v>
      </c>
      <c r="B53" s="344">
        <v>0.25190000000000001</v>
      </c>
      <c r="C53" s="340">
        <f t="shared" si="2"/>
        <v>2027</v>
      </c>
      <c r="D53" s="341">
        <f t="shared" si="0"/>
        <v>0.28910000000000002</v>
      </c>
      <c r="E53" s="341">
        <f t="shared" ca="1" si="1"/>
        <v>0.2278</v>
      </c>
    </row>
    <row r="54" spans="1:5" x14ac:dyDescent="0.45">
      <c r="A54" s="343">
        <v>2020</v>
      </c>
      <c r="B54" s="344">
        <v>0.1406</v>
      </c>
      <c r="C54" s="340">
        <f t="shared" si="2"/>
        <v>2028</v>
      </c>
      <c r="D54" s="341">
        <f t="shared" si="0"/>
        <v>0.10310000000000001</v>
      </c>
      <c r="E54" s="341">
        <f t="shared" ca="1" si="1"/>
        <v>7.2099999999999997E-2</v>
      </c>
    </row>
    <row r="55" spans="1:5" x14ac:dyDescent="0.45">
      <c r="A55" s="343">
        <v>2021</v>
      </c>
      <c r="B55" s="344">
        <v>0.2014</v>
      </c>
      <c r="C55" s="340">
        <f t="shared" si="2"/>
        <v>2029</v>
      </c>
      <c r="D55" s="341">
        <f t="shared" si="0"/>
        <v>-2.46E-2</v>
      </c>
      <c r="E55" s="341">
        <f t="shared" ca="1" si="1"/>
        <v>-5.7099999999999998E-2</v>
      </c>
    </row>
    <row r="56" spans="1:5" x14ac:dyDescent="0.45">
      <c r="A56" s="186">
        <v>2022</v>
      </c>
      <c r="B56" s="187">
        <v>-5.7099999999999998E-2</v>
      </c>
      <c r="C56" s="340">
        <f t="shared" si="2"/>
        <v>2030</v>
      </c>
      <c r="D56" s="341">
        <f t="shared" si="0"/>
        <v>0.1268</v>
      </c>
      <c r="E56" s="341">
        <f t="shared" ca="1" si="1"/>
        <v>0.1268</v>
      </c>
    </row>
    <row r="57" spans="1:5" x14ac:dyDescent="0.45">
      <c r="A57" s="185">
        <v>2023</v>
      </c>
      <c r="B57" s="188">
        <v>0.15590000000000001</v>
      </c>
      <c r="C57" s="340">
        <f t="shared" si="2"/>
        <v>2031</v>
      </c>
      <c r="D57" s="341">
        <f t="shared" si="0"/>
        <v>7.2099999999999997E-2</v>
      </c>
      <c r="E57" s="341">
        <f t="shared" ca="1" si="1"/>
        <v>0.17949999999999999</v>
      </c>
    </row>
    <row r="58" spans="1:5" x14ac:dyDescent="0.45">
      <c r="A58" s="185">
        <v>2024</v>
      </c>
      <c r="B58" s="188">
        <v>0.1996</v>
      </c>
      <c r="C58" s="340">
        <f t="shared" si="2"/>
        <v>2032</v>
      </c>
      <c r="D58" s="341">
        <f t="shared" si="0"/>
        <v>0.21460000000000001</v>
      </c>
      <c r="E58" s="341">
        <f t="shared" ca="1" si="1"/>
        <v>0.21460000000000001</v>
      </c>
    </row>
    <row r="59" spans="1:5" x14ac:dyDescent="0.45">
      <c r="A59" s="185">
        <v>2025</v>
      </c>
      <c r="B59" s="188">
        <v>-0.17079999999999998</v>
      </c>
      <c r="C59" s="340">
        <f t="shared" si="2"/>
        <v>2033</v>
      </c>
      <c r="D59" s="341">
        <f t="shared" si="0"/>
        <v>-7.9199999999999993E-2</v>
      </c>
      <c r="E59" s="341">
        <f t="shared" ca="1" si="1"/>
        <v>2.9300000000000003E-2</v>
      </c>
    </row>
    <row r="60" spans="1:5" x14ac:dyDescent="0.45">
      <c r="A60" s="185">
        <v>2026</v>
      </c>
      <c r="B60" s="188">
        <v>-0.27829999999999999</v>
      </c>
      <c r="C60" s="340">
        <f t="shared" si="2"/>
        <v>2034</v>
      </c>
      <c r="D60" s="341">
        <f t="shared" si="0"/>
        <v>5.8200000000000002E-2</v>
      </c>
      <c r="E60" s="341">
        <f t="shared" ca="1" si="1"/>
        <v>-0.17829999999999999</v>
      </c>
    </row>
    <row r="61" spans="1:5" x14ac:dyDescent="0.45">
      <c r="A61" s="185">
        <v>2027</v>
      </c>
      <c r="B61" s="188">
        <v>0.28910000000000002</v>
      </c>
      <c r="C61" s="340">
        <f t="shared" si="2"/>
        <v>2035</v>
      </c>
      <c r="D61" s="341">
        <f t="shared" si="0"/>
        <v>0.18559999999999999</v>
      </c>
      <c r="E61" s="341">
        <f t="shared" ca="1" si="1"/>
        <v>0.187</v>
      </c>
    </row>
    <row r="62" spans="1:5" x14ac:dyDescent="0.45">
      <c r="A62" s="185">
        <v>2028</v>
      </c>
      <c r="B62" s="188">
        <v>0.10310000000000001</v>
      </c>
      <c r="C62" s="340">
        <f t="shared" si="2"/>
        <v>2036</v>
      </c>
      <c r="D62" s="341">
        <f t="shared" si="0"/>
        <v>1.77E-2</v>
      </c>
      <c r="E62" s="341">
        <f t="shared" ca="1" si="1"/>
        <v>2.9300000000000003E-2</v>
      </c>
    </row>
    <row r="63" spans="1:5" x14ac:dyDescent="0.45">
      <c r="A63" s="185">
        <v>2029</v>
      </c>
      <c r="B63" s="188">
        <v>-2.46E-2</v>
      </c>
      <c r="C63" s="340">
        <f t="shared" si="2"/>
        <v>2037</v>
      </c>
      <c r="D63" s="341">
        <f t="shared" si="0"/>
        <v>0.37020000000000003</v>
      </c>
      <c r="E63" s="341">
        <f t="shared" ca="1" si="1"/>
        <v>0.1318</v>
      </c>
    </row>
    <row r="64" spans="1:5" x14ac:dyDescent="0.45">
      <c r="A64" s="185">
        <v>2030</v>
      </c>
      <c r="B64" s="188">
        <v>0.1268</v>
      </c>
      <c r="C64" s="340">
        <f t="shared" si="2"/>
        <v>2038</v>
      </c>
      <c r="D64" s="341">
        <f t="shared" si="0"/>
        <v>0.3911</v>
      </c>
      <c r="E64" s="341">
        <f t="shared" ca="1" si="1"/>
        <v>0.14749999999999999</v>
      </c>
    </row>
    <row r="65" spans="1:5" x14ac:dyDescent="0.45">
      <c r="A65" s="185">
        <v>2031</v>
      </c>
      <c r="B65" s="188">
        <v>7.2099999999999997E-2</v>
      </c>
      <c r="C65" s="340">
        <f t="shared" si="2"/>
        <v>2039</v>
      </c>
      <c r="D65" s="341">
        <f t="shared" si="0"/>
        <v>0.1434</v>
      </c>
      <c r="E65" s="341">
        <f t="shared" ca="1" si="1"/>
        <v>0.25190000000000001</v>
      </c>
    </row>
    <row r="66" spans="1:5" x14ac:dyDescent="0.45">
      <c r="A66" s="185">
        <v>2032</v>
      </c>
      <c r="B66" s="188">
        <v>0.21460000000000001</v>
      </c>
      <c r="C66" s="340">
        <f t="shared" si="2"/>
        <v>2040</v>
      </c>
      <c r="D66" s="341">
        <f t="shared" si="0"/>
        <v>0.21190000000000001</v>
      </c>
      <c r="E66" s="341">
        <f t="shared" ca="1" si="1"/>
        <v>0.187</v>
      </c>
    </row>
    <row r="67" spans="1:5" x14ac:dyDescent="0.45">
      <c r="A67" s="185">
        <v>2033</v>
      </c>
      <c r="B67" s="188">
        <v>-7.9199999999999993E-2</v>
      </c>
      <c r="C67" s="340">
        <f t="shared" si="2"/>
        <v>2041</v>
      </c>
      <c r="D67" s="341">
        <f t="shared" si="0"/>
        <v>0.14749999999999999</v>
      </c>
      <c r="E67" s="341">
        <f t="shared" ca="1" si="1"/>
        <v>-0.14050000000000001</v>
      </c>
    </row>
    <row r="68" spans="1:5" x14ac:dyDescent="0.45">
      <c r="A68" s="185">
        <v>2034</v>
      </c>
      <c r="B68" s="188">
        <v>5.8200000000000002E-2</v>
      </c>
      <c r="C68" s="340">
        <f t="shared" si="2"/>
        <v>2042</v>
      </c>
      <c r="D68" s="341">
        <f t="shared" si="0"/>
        <v>-0.1865</v>
      </c>
      <c r="E68" s="341">
        <f t="shared" ca="1" si="1"/>
        <v>1.77E-2</v>
      </c>
    </row>
    <row r="69" spans="1:5" x14ac:dyDescent="0.45">
      <c r="A69" s="185">
        <v>2035</v>
      </c>
      <c r="B69" s="188">
        <v>0.18559999999999999</v>
      </c>
      <c r="C69" s="340">
        <f t="shared" si="2"/>
        <v>2043</v>
      </c>
      <c r="D69" s="341">
        <f t="shared" ref="D69:D132" si="3">VLOOKUP(C69,$A$4:$B$184,2,FALSE)</f>
        <v>0.16</v>
      </c>
      <c r="E69" s="341">
        <f t="shared" ref="E69:E132" ca="1" si="4">INDEX($B$4:$B$55,RANDBETWEEN(1,COUNTA($B$4:$B$55)))</f>
        <v>0.1996</v>
      </c>
    </row>
    <row r="70" spans="1:5" x14ac:dyDescent="0.45">
      <c r="A70" s="185">
        <v>2036</v>
      </c>
      <c r="B70" s="188">
        <v>1.77E-2</v>
      </c>
      <c r="C70" s="340">
        <f t="shared" ref="C70:C133" si="5">C69+1</f>
        <v>2044</v>
      </c>
      <c r="D70" s="341">
        <f t="shared" si="3"/>
        <v>-7.1399999999999991E-2</v>
      </c>
      <c r="E70" s="341">
        <f t="shared" ca="1" si="4"/>
        <v>1.77E-2</v>
      </c>
    </row>
    <row r="71" spans="1:5" x14ac:dyDescent="0.45">
      <c r="A71" s="185">
        <v>2037</v>
      </c>
      <c r="B71" s="188">
        <v>0.37020000000000003</v>
      </c>
      <c r="C71" s="340">
        <f t="shared" si="5"/>
        <v>2045</v>
      </c>
      <c r="D71" s="341">
        <f t="shared" si="3"/>
        <v>0.2039</v>
      </c>
      <c r="E71" s="341">
        <f t="shared" ca="1" si="4"/>
        <v>-2.46E-2</v>
      </c>
    </row>
    <row r="72" spans="1:5" x14ac:dyDescent="0.45">
      <c r="A72" s="185">
        <v>2038</v>
      </c>
      <c r="B72" s="188">
        <v>0.3911</v>
      </c>
      <c r="C72" s="340">
        <f t="shared" si="5"/>
        <v>2046</v>
      </c>
      <c r="D72" s="341">
        <f t="shared" si="3"/>
        <v>3.3599999999999998E-2</v>
      </c>
      <c r="E72" s="341">
        <f t="shared" ca="1" si="4"/>
        <v>-2.46E-2</v>
      </c>
    </row>
    <row r="73" spans="1:5" x14ac:dyDescent="0.45">
      <c r="A73" s="185">
        <v>2039</v>
      </c>
      <c r="B73" s="188">
        <v>0.1434</v>
      </c>
      <c r="C73" s="340">
        <f t="shared" si="5"/>
        <v>2047</v>
      </c>
      <c r="D73" s="341">
        <f t="shared" si="3"/>
        <v>0.187</v>
      </c>
      <c r="E73" s="341">
        <f t="shared" ca="1" si="4"/>
        <v>0.1996</v>
      </c>
    </row>
    <row r="74" spans="1:5" x14ac:dyDescent="0.45">
      <c r="A74" s="185">
        <v>2040</v>
      </c>
      <c r="B74" s="188">
        <v>0.21190000000000001</v>
      </c>
      <c r="C74" s="340">
        <f t="shared" si="5"/>
        <v>2048</v>
      </c>
      <c r="D74" s="341">
        <f t="shared" si="3"/>
        <v>0.11720000000000001</v>
      </c>
      <c r="E74" s="341">
        <f t="shared" ca="1" si="4"/>
        <v>7.0900000000000005E-2</v>
      </c>
    </row>
    <row r="75" spans="1:5" x14ac:dyDescent="0.45">
      <c r="A75" s="185">
        <v>2041</v>
      </c>
      <c r="B75" s="188">
        <v>0.14749999999999999</v>
      </c>
      <c r="C75" s="340">
        <f t="shared" si="5"/>
        <v>2049</v>
      </c>
      <c r="D75" s="341">
        <f t="shared" si="3"/>
        <v>0.14169999999999999</v>
      </c>
      <c r="E75" s="341">
        <f t="shared" ca="1" si="4"/>
        <v>0.2011</v>
      </c>
    </row>
    <row r="76" spans="1:5" x14ac:dyDescent="0.45">
      <c r="A76" s="185">
        <v>2042</v>
      </c>
      <c r="B76" s="188">
        <v>-0.1865</v>
      </c>
      <c r="C76" s="340">
        <f t="shared" si="5"/>
        <v>2050</v>
      </c>
      <c r="D76" s="341">
        <f t="shared" si="3"/>
        <v>0.2278</v>
      </c>
      <c r="E76" s="341">
        <f t="shared" ca="1" si="4"/>
        <v>0.30809999999999998</v>
      </c>
    </row>
    <row r="77" spans="1:5" x14ac:dyDescent="0.45">
      <c r="A77" s="185">
        <v>2043</v>
      </c>
      <c r="B77" s="188">
        <v>0.16</v>
      </c>
      <c r="C77" s="340">
        <f t="shared" si="5"/>
        <v>2051</v>
      </c>
      <c r="D77" s="341">
        <f t="shared" si="3"/>
        <v>0.23559999999999998</v>
      </c>
      <c r="E77" s="341">
        <f t="shared" ca="1" si="4"/>
        <v>2.9300000000000003E-2</v>
      </c>
    </row>
    <row r="78" spans="1:5" x14ac:dyDescent="0.45">
      <c r="A78" s="185">
        <v>2044</v>
      </c>
      <c r="B78" s="188">
        <v>-7.1399999999999991E-2</v>
      </c>
      <c r="C78" s="340">
        <f t="shared" si="5"/>
        <v>2052</v>
      </c>
      <c r="D78" s="341">
        <f t="shared" si="3"/>
        <v>-0.14050000000000001</v>
      </c>
      <c r="E78" s="341">
        <f t="shared" ca="1" si="4"/>
        <v>0.16</v>
      </c>
    </row>
    <row r="79" spans="1:5" x14ac:dyDescent="0.45">
      <c r="A79" s="185">
        <v>2045</v>
      </c>
      <c r="B79" s="188">
        <v>0.2039</v>
      </c>
      <c r="C79" s="340">
        <f t="shared" si="5"/>
        <v>2053</v>
      </c>
      <c r="D79" s="341">
        <f t="shared" si="3"/>
        <v>-0.17829999999999999</v>
      </c>
      <c r="E79" s="341">
        <f t="shared" ca="1" si="4"/>
        <v>0.1434</v>
      </c>
    </row>
    <row r="80" spans="1:5" x14ac:dyDescent="0.45">
      <c r="A80" s="185">
        <v>2046</v>
      </c>
      <c r="B80" s="188">
        <v>3.3599999999999998E-2</v>
      </c>
      <c r="C80" s="340">
        <f t="shared" si="5"/>
        <v>2054</v>
      </c>
      <c r="D80" s="341">
        <f t="shared" si="3"/>
        <v>-0.21059999999999998</v>
      </c>
      <c r="E80" s="341">
        <f t="shared" ca="1" si="4"/>
        <v>0.2039</v>
      </c>
    </row>
    <row r="81" spans="1:5" x14ac:dyDescent="0.45">
      <c r="A81" s="185">
        <v>2047</v>
      </c>
      <c r="B81" s="188">
        <v>0.187</v>
      </c>
      <c r="C81" s="340">
        <f t="shared" si="5"/>
        <v>2055</v>
      </c>
      <c r="D81" s="341">
        <f t="shared" si="3"/>
        <v>0.30809999999999998</v>
      </c>
      <c r="E81" s="341">
        <f t="shared" ca="1" si="4"/>
        <v>9.5500000000000002E-2</v>
      </c>
    </row>
    <row r="82" spans="1:5" x14ac:dyDescent="0.45">
      <c r="A82" s="185">
        <v>2048</v>
      </c>
      <c r="B82" s="188">
        <v>0.11720000000000001</v>
      </c>
      <c r="C82" s="340">
        <f t="shared" si="5"/>
        <v>2056</v>
      </c>
      <c r="D82" s="341">
        <f t="shared" si="3"/>
        <v>0.12839999999999999</v>
      </c>
      <c r="E82" s="341">
        <f t="shared" ca="1" si="4"/>
        <v>1.77E-2</v>
      </c>
    </row>
    <row r="83" spans="1:5" x14ac:dyDescent="0.45">
      <c r="A83" s="185">
        <v>2049</v>
      </c>
      <c r="B83" s="188">
        <v>0.14169999999999999</v>
      </c>
      <c r="C83" s="340">
        <f t="shared" si="5"/>
        <v>2057</v>
      </c>
      <c r="D83" s="341">
        <f t="shared" si="3"/>
        <v>7.5600000000000001E-2</v>
      </c>
      <c r="E83" s="341">
        <f t="shared" ca="1" si="4"/>
        <v>0.16</v>
      </c>
    </row>
    <row r="84" spans="1:5" x14ac:dyDescent="0.45">
      <c r="A84" s="185">
        <v>2050</v>
      </c>
      <c r="B84" s="188">
        <v>0.2278</v>
      </c>
      <c r="C84" s="340">
        <f t="shared" si="5"/>
        <v>2058</v>
      </c>
      <c r="D84" s="341">
        <f t="shared" si="3"/>
        <v>0.17949999999999999</v>
      </c>
      <c r="E84" s="341">
        <f t="shared" ca="1" si="4"/>
        <v>0.14169999999999999</v>
      </c>
    </row>
    <row r="85" spans="1:5" x14ac:dyDescent="0.45">
      <c r="A85" s="185">
        <v>2051</v>
      </c>
      <c r="B85" s="188">
        <v>0.23559999999999998</v>
      </c>
      <c r="C85" s="340">
        <f t="shared" si="5"/>
        <v>2059</v>
      </c>
      <c r="D85" s="341">
        <f t="shared" si="3"/>
        <v>7.0900000000000005E-2</v>
      </c>
      <c r="E85" s="341">
        <f t="shared" ca="1" si="4"/>
        <v>-0.1865</v>
      </c>
    </row>
    <row r="86" spans="1:5" x14ac:dyDescent="0.45">
      <c r="A86" s="185">
        <v>2052</v>
      </c>
      <c r="B86" s="188">
        <v>-0.14050000000000001</v>
      </c>
      <c r="C86" s="340">
        <f t="shared" si="5"/>
        <v>2060</v>
      </c>
      <c r="D86" s="341">
        <f t="shared" si="3"/>
        <v>-0.42080000000000001</v>
      </c>
      <c r="E86" s="341">
        <f t="shared" ca="1" si="4"/>
        <v>-0.17829999999999999</v>
      </c>
    </row>
    <row r="87" spans="1:5" x14ac:dyDescent="0.45">
      <c r="A87" s="185">
        <v>2053</v>
      </c>
      <c r="B87" s="188">
        <v>-0.17829999999999999</v>
      </c>
      <c r="C87" s="340">
        <f t="shared" si="5"/>
        <v>2061</v>
      </c>
      <c r="D87" s="341">
        <f t="shared" si="3"/>
        <v>0.26979999999999998</v>
      </c>
      <c r="E87" s="341">
        <f t="shared" ca="1" si="4"/>
        <v>0.11720000000000001</v>
      </c>
    </row>
    <row r="88" spans="1:5" x14ac:dyDescent="0.45">
      <c r="A88" s="185">
        <v>2054</v>
      </c>
      <c r="B88" s="188">
        <v>-0.21059999999999998</v>
      </c>
      <c r="C88" s="340">
        <f t="shared" si="5"/>
        <v>2062</v>
      </c>
      <c r="D88" s="341">
        <f t="shared" si="3"/>
        <v>9.5500000000000002E-2</v>
      </c>
      <c r="E88" s="341">
        <f t="shared" ca="1" si="4"/>
        <v>-7.9199999999999993E-2</v>
      </c>
    </row>
    <row r="89" spans="1:5" x14ac:dyDescent="0.45">
      <c r="A89" s="185">
        <v>2055</v>
      </c>
      <c r="B89" s="188">
        <v>0.30809999999999998</v>
      </c>
      <c r="C89" s="340">
        <f t="shared" si="5"/>
        <v>2063</v>
      </c>
      <c r="D89" s="341">
        <f t="shared" si="3"/>
        <v>-7.6100000000000001E-2</v>
      </c>
      <c r="E89" s="341">
        <f t="shared" ca="1" si="4"/>
        <v>0.12839999999999999</v>
      </c>
    </row>
    <row r="90" spans="1:5" x14ac:dyDescent="0.45">
      <c r="A90" s="185">
        <v>2056</v>
      </c>
      <c r="B90" s="188">
        <v>0.12839999999999999</v>
      </c>
      <c r="C90" s="340">
        <f t="shared" si="5"/>
        <v>2064</v>
      </c>
      <c r="D90" s="341">
        <f t="shared" si="3"/>
        <v>0.1318</v>
      </c>
      <c r="E90" s="341">
        <f t="shared" ca="1" si="4"/>
        <v>5.8200000000000002E-2</v>
      </c>
    </row>
    <row r="91" spans="1:5" x14ac:dyDescent="0.45">
      <c r="A91" s="185">
        <v>2057</v>
      </c>
      <c r="B91" s="188">
        <v>7.5600000000000001E-2</v>
      </c>
      <c r="C91" s="340">
        <f t="shared" si="5"/>
        <v>2065</v>
      </c>
      <c r="D91" s="341">
        <f t="shared" si="3"/>
        <v>0.24100000000000002</v>
      </c>
      <c r="E91" s="341">
        <f t="shared" ca="1" si="4"/>
        <v>9.5500000000000002E-2</v>
      </c>
    </row>
    <row r="92" spans="1:5" x14ac:dyDescent="0.45">
      <c r="A92" s="185">
        <v>2058</v>
      </c>
      <c r="B92" s="188">
        <v>0.17949999999999999</v>
      </c>
      <c r="C92" s="340">
        <f t="shared" si="5"/>
        <v>2066</v>
      </c>
      <c r="D92" s="341">
        <f t="shared" si="3"/>
        <v>2.9300000000000003E-2</v>
      </c>
      <c r="E92" s="341">
        <f t="shared" ca="1" si="4"/>
        <v>0.17949999999999999</v>
      </c>
    </row>
    <row r="93" spans="1:5" x14ac:dyDescent="0.45">
      <c r="A93" s="185">
        <v>2059</v>
      </c>
      <c r="B93" s="188">
        <v>7.0900000000000005E-2</v>
      </c>
      <c r="C93" s="340">
        <f t="shared" si="5"/>
        <v>2067</v>
      </c>
      <c r="D93" s="341">
        <f t="shared" si="3"/>
        <v>-2.7400000000000001E-2</v>
      </c>
      <c r="E93" s="341">
        <f t="shared" ca="1" si="4"/>
        <v>0.14169999999999999</v>
      </c>
    </row>
    <row r="94" spans="1:5" x14ac:dyDescent="0.45">
      <c r="A94" s="185">
        <v>2060</v>
      </c>
      <c r="B94" s="188">
        <v>-0.42080000000000001</v>
      </c>
      <c r="C94" s="340">
        <f t="shared" si="5"/>
        <v>2068</v>
      </c>
      <c r="D94" s="341">
        <f t="shared" si="3"/>
        <v>5.3200000000000004E-2</v>
      </c>
      <c r="E94" s="341">
        <f t="shared" ca="1" si="4"/>
        <v>9.5500000000000002E-2</v>
      </c>
    </row>
    <row r="95" spans="1:5" x14ac:dyDescent="0.45">
      <c r="A95" s="185">
        <v>2061</v>
      </c>
      <c r="B95" s="188">
        <v>0.26979999999999998</v>
      </c>
      <c r="C95" s="340">
        <f t="shared" si="5"/>
        <v>2069</v>
      </c>
      <c r="D95" s="341">
        <f t="shared" si="3"/>
        <v>0.2011</v>
      </c>
      <c r="E95" s="341">
        <f t="shared" ca="1" si="4"/>
        <v>0.14749999999999999</v>
      </c>
    </row>
    <row r="96" spans="1:5" x14ac:dyDescent="0.45">
      <c r="A96" s="185">
        <v>2062</v>
      </c>
      <c r="B96" s="188">
        <v>9.5500000000000002E-2</v>
      </c>
      <c r="C96" s="340">
        <f t="shared" si="5"/>
        <v>2070</v>
      </c>
      <c r="D96" s="341">
        <f t="shared" si="3"/>
        <v>-0.10439999999999999</v>
      </c>
      <c r="E96" s="341">
        <f t="shared" ca="1" si="4"/>
        <v>-0.17079999999999998</v>
      </c>
    </row>
    <row r="97" spans="1:5" x14ac:dyDescent="0.45">
      <c r="A97" s="185">
        <v>2063</v>
      </c>
      <c r="B97" s="188">
        <v>-7.6100000000000001E-2</v>
      </c>
      <c r="C97" s="340">
        <f t="shared" si="5"/>
        <v>2071</v>
      </c>
      <c r="D97" s="341">
        <f t="shared" si="3"/>
        <v>0.25190000000000001</v>
      </c>
      <c r="E97" s="341">
        <f t="shared" ca="1" si="4"/>
        <v>0.24100000000000002</v>
      </c>
    </row>
    <row r="98" spans="1:5" x14ac:dyDescent="0.45">
      <c r="A98" s="185">
        <v>2064</v>
      </c>
      <c r="B98" s="188">
        <v>0.1318</v>
      </c>
      <c r="C98" s="340">
        <f t="shared" si="5"/>
        <v>2072</v>
      </c>
      <c r="D98" s="341">
        <f t="shared" si="3"/>
        <v>0.1406</v>
      </c>
      <c r="E98" s="341">
        <f t="shared" ca="1" si="4"/>
        <v>0.2011</v>
      </c>
    </row>
    <row r="99" spans="1:5" x14ac:dyDescent="0.45">
      <c r="A99" s="185">
        <v>2065</v>
      </c>
      <c r="B99" s="188">
        <v>0.24100000000000002</v>
      </c>
      <c r="C99" s="340">
        <f t="shared" si="5"/>
        <v>2073</v>
      </c>
      <c r="D99" s="341">
        <f t="shared" si="3"/>
        <v>0.2014</v>
      </c>
      <c r="E99" s="341">
        <f t="shared" ca="1" si="4"/>
        <v>7.0900000000000005E-2</v>
      </c>
    </row>
    <row r="100" spans="1:5" x14ac:dyDescent="0.45">
      <c r="A100" s="185">
        <v>2066</v>
      </c>
      <c r="B100" s="188">
        <v>2.9300000000000003E-2</v>
      </c>
      <c r="C100" s="340">
        <f t="shared" si="5"/>
        <v>2074</v>
      </c>
      <c r="D100" s="341">
        <f t="shared" si="3"/>
        <v>-5.7099999999999998E-2</v>
      </c>
      <c r="E100" s="341">
        <f t="shared" ca="1" si="4"/>
        <v>-2.7400000000000001E-2</v>
      </c>
    </row>
    <row r="101" spans="1:5" x14ac:dyDescent="0.45">
      <c r="A101" s="185">
        <v>2067</v>
      </c>
      <c r="B101" s="188">
        <v>-2.7400000000000001E-2</v>
      </c>
      <c r="C101" s="340">
        <f t="shared" si="5"/>
        <v>2075</v>
      </c>
      <c r="D101" s="341">
        <f t="shared" si="3"/>
        <v>0.15590000000000001</v>
      </c>
      <c r="E101" s="341">
        <f t="shared" ca="1" si="4"/>
        <v>-0.21059999999999998</v>
      </c>
    </row>
    <row r="102" spans="1:5" x14ac:dyDescent="0.45">
      <c r="A102" s="185">
        <v>2068</v>
      </c>
      <c r="B102" s="188">
        <v>5.3200000000000004E-2</v>
      </c>
      <c r="C102" s="340">
        <f t="shared" si="5"/>
        <v>2076</v>
      </c>
      <c r="D102" s="341">
        <f t="shared" si="3"/>
        <v>0.1996</v>
      </c>
      <c r="E102" s="341">
        <f t="shared" ca="1" si="4"/>
        <v>0.14169999999999999</v>
      </c>
    </row>
    <row r="103" spans="1:5" x14ac:dyDescent="0.45">
      <c r="A103" s="185">
        <v>2069</v>
      </c>
      <c r="B103" s="188">
        <v>0.2011</v>
      </c>
      <c r="C103" s="340">
        <f t="shared" si="5"/>
        <v>2077</v>
      </c>
      <c r="D103" s="341">
        <f t="shared" si="3"/>
        <v>-0.17079999999999998</v>
      </c>
      <c r="E103" s="341">
        <f t="shared" ca="1" si="4"/>
        <v>0.14169999999999999</v>
      </c>
    </row>
    <row r="104" spans="1:5" x14ac:dyDescent="0.45">
      <c r="A104" s="185">
        <v>2070</v>
      </c>
      <c r="B104" s="188">
        <v>-0.10439999999999999</v>
      </c>
      <c r="C104" s="340">
        <f t="shared" si="5"/>
        <v>2078</v>
      </c>
      <c r="D104" s="341">
        <f t="shared" si="3"/>
        <v>-0.27829999999999999</v>
      </c>
      <c r="E104" s="341">
        <f t="shared" ca="1" si="4"/>
        <v>0.3911</v>
      </c>
    </row>
    <row r="105" spans="1:5" x14ac:dyDescent="0.45">
      <c r="A105" s="185">
        <v>2071</v>
      </c>
      <c r="B105" s="188">
        <v>0.25190000000000001</v>
      </c>
      <c r="C105" s="340">
        <f t="shared" si="5"/>
        <v>2079</v>
      </c>
      <c r="D105" s="341">
        <f t="shared" si="3"/>
        <v>0.28910000000000002</v>
      </c>
      <c r="E105" s="341">
        <f t="shared" ca="1" si="4"/>
        <v>0.30809999999999998</v>
      </c>
    </row>
    <row r="106" spans="1:5" x14ac:dyDescent="0.45">
      <c r="A106" s="185">
        <v>2072</v>
      </c>
      <c r="B106" s="188">
        <v>0.1406</v>
      </c>
      <c r="C106" s="340">
        <f t="shared" si="5"/>
        <v>2080</v>
      </c>
      <c r="D106" s="341">
        <f t="shared" si="3"/>
        <v>0.10310000000000001</v>
      </c>
      <c r="E106" s="341">
        <f t="shared" ca="1" si="4"/>
        <v>-0.14050000000000001</v>
      </c>
    </row>
    <row r="107" spans="1:5" x14ac:dyDescent="0.45">
      <c r="A107" s="185">
        <v>2073</v>
      </c>
      <c r="B107" s="188">
        <v>0.2014</v>
      </c>
      <c r="C107" s="340">
        <f t="shared" si="5"/>
        <v>2081</v>
      </c>
      <c r="D107" s="341">
        <f t="shared" si="3"/>
        <v>-2.46E-2</v>
      </c>
      <c r="E107" s="341">
        <f t="shared" ca="1" si="4"/>
        <v>0.18559999999999999</v>
      </c>
    </row>
    <row r="108" spans="1:5" x14ac:dyDescent="0.45">
      <c r="A108" s="186">
        <v>2074</v>
      </c>
      <c r="B108" s="187">
        <v>-5.7099999999999998E-2</v>
      </c>
      <c r="C108" s="340">
        <f t="shared" si="5"/>
        <v>2082</v>
      </c>
      <c r="D108" s="341">
        <f t="shared" si="3"/>
        <v>0.1268</v>
      </c>
      <c r="E108" s="341">
        <f t="shared" ca="1" si="4"/>
        <v>-0.10439999999999999</v>
      </c>
    </row>
    <row r="109" spans="1:5" x14ac:dyDescent="0.45">
      <c r="A109" s="185">
        <v>2075</v>
      </c>
      <c r="B109" s="188">
        <v>0.15590000000000001</v>
      </c>
      <c r="C109" s="340">
        <f t="shared" si="5"/>
        <v>2083</v>
      </c>
      <c r="D109" s="341">
        <f t="shared" si="3"/>
        <v>7.2099999999999997E-2</v>
      </c>
      <c r="E109" s="341">
        <f t="shared" ca="1" si="4"/>
        <v>0.2278</v>
      </c>
    </row>
    <row r="110" spans="1:5" x14ac:dyDescent="0.45">
      <c r="A110" s="185">
        <v>2076</v>
      </c>
      <c r="B110" s="188">
        <v>0.1996</v>
      </c>
      <c r="C110" s="340">
        <f t="shared" si="5"/>
        <v>2084</v>
      </c>
      <c r="D110" s="341">
        <f t="shared" si="3"/>
        <v>0.21460000000000001</v>
      </c>
      <c r="E110" s="341">
        <f t="shared" ca="1" si="4"/>
        <v>0.187</v>
      </c>
    </row>
    <row r="111" spans="1:5" x14ac:dyDescent="0.45">
      <c r="A111" s="185">
        <v>2077</v>
      </c>
      <c r="B111" s="188">
        <v>-0.17079999999999998</v>
      </c>
      <c r="C111" s="340">
        <f t="shared" si="5"/>
        <v>2085</v>
      </c>
      <c r="D111" s="341">
        <f t="shared" si="3"/>
        <v>-7.9199999999999993E-2</v>
      </c>
      <c r="E111" s="341">
        <f t="shared" ca="1" si="4"/>
        <v>-2.7400000000000001E-2</v>
      </c>
    </row>
    <row r="112" spans="1:5" x14ac:dyDescent="0.45">
      <c r="A112" s="185">
        <v>2078</v>
      </c>
      <c r="B112" s="188">
        <v>-0.27829999999999999</v>
      </c>
      <c r="C112" s="340">
        <f t="shared" si="5"/>
        <v>2086</v>
      </c>
      <c r="D112" s="341">
        <f t="shared" si="3"/>
        <v>5.8200000000000002E-2</v>
      </c>
      <c r="E112" s="341">
        <f t="shared" ca="1" si="4"/>
        <v>0.30809999999999998</v>
      </c>
    </row>
    <row r="113" spans="1:5" x14ac:dyDescent="0.45">
      <c r="A113" s="185">
        <v>2079</v>
      </c>
      <c r="B113" s="188">
        <v>0.28910000000000002</v>
      </c>
      <c r="C113" s="340">
        <f t="shared" si="5"/>
        <v>2087</v>
      </c>
      <c r="D113" s="341">
        <f t="shared" si="3"/>
        <v>0.18559999999999999</v>
      </c>
      <c r="E113" s="341">
        <f t="shared" ca="1" si="4"/>
        <v>-0.17829999999999999</v>
      </c>
    </row>
    <row r="114" spans="1:5" x14ac:dyDescent="0.45">
      <c r="A114" s="185">
        <v>2080</v>
      </c>
      <c r="B114" s="188">
        <v>0.10310000000000001</v>
      </c>
      <c r="C114" s="340">
        <f t="shared" si="5"/>
        <v>2088</v>
      </c>
      <c r="D114" s="341">
        <f t="shared" si="3"/>
        <v>1.77E-2</v>
      </c>
      <c r="E114" s="341">
        <f t="shared" ca="1" si="4"/>
        <v>0.10310000000000001</v>
      </c>
    </row>
    <row r="115" spans="1:5" x14ac:dyDescent="0.45">
      <c r="A115" s="185">
        <v>2081</v>
      </c>
      <c r="B115" s="188">
        <v>-2.46E-2</v>
      </c>
      <c r="C115" s="340">
        <f t="shared" si="5"/>
        <v>2089</v>
      </c>
      <c r="D115" s="341">
        <f t="shared" si="3"/>
        <v>0.37020000000000003</v>
      </c>
      <c r="E115" s="341">
        <f t="shared" ca="1" si="4"/>
        <v>0.14169999999999999</v>
      </c>
    </row>
    <row r="116" spans="1:5" x14ac:dyDescent="0.45">
      <c r="A116" s="185">
        <v>2082</v>
      </c>
      <c r="B116" s="188">
        <v>0.1268</v>
      </c>
      <c r="C116" s="340">
        <f t="shared" si="5"/>
        <v>2090</v>
      </c>
      <c r="D116" s="341">
        <f t="shared" si="3"/>
        <v>0.3911</v>
      </c>
      <c r="E116" s="341">
        <f t="shared" ca="1" si="4"/>
        <v>0.18559999999999999</v>
      </c>
    </row>
    <row r="117" spans="1:5" x14ac:dyDescent="0.45">
      <c r="A117" s="185">
        <v>2083</v>
      </c>
      <c r="B117" s="188">
        <v>7.2099999999999997E-2</v>
      </c>
      <c r="C117" s="340">
        <f t="shared" si="5"/>
        <v>2091</v>
      </c>
      <c r="D117" s="341">
        <f t="shared" si="3"/>
        <v>0.1434</v>
      </c>
      <c r="E117" s="341">
        <f t="shared" ca="1" si="4"/>
        <v>0.17949999999999999</v>
      </c>
    </row>
    <row r="118" spans="1:5" x14ac:dyDescent="0.45">
      <c r="A118" s="185">
        <v>2084</v>
      </c>
      <c r="B118" s="188">
        <v>0.21460000000000001</v>
      </c>
      <c r="C118" s="340">
        <f t="shared" si="5"/>
        <v>2092</v>
      </c>
      <c r="D118" s="341">
        <f t="shared" si="3"/>
        <v>0.21190000000000001</v>
      </c>
      <c r="E118" s="341">
        <f t="shared" ca="1" si="4"/>
        <v>-0.17829999999999999</v>
      </c>
    </row>
    <row r="119" spans="1:5" x14ac:dyDescent="0.45">
      <c r="A119" s="185">
        <v>2085</v>
      </c>
      <c r="B119" s="188">
        <v>-7.9199999999999993E-2</v>
      </c>
      <c r="C119" s="340">
        <f t="shared" si="5"/>
        <v>2093</v>
      </c>
      <c r="D119" s="341">
        <f t="shared" si="3"/>
        <v>0.14749999999999999</v>
      </c>
      <c r="E119" s="341">
        <f t="shared" ca="1" si="4"/>
        <v>-0.27829999999999999</v>
      </c>
    </row>
    <row r="120" spans="1:5" x14ac:dyDescent="0.45">
      <c r="A120" s="185">
        <v>2086</v>
      </c>
      <c r="B120" s="188">
        <v>5.8200000000000002E-2</v>
      </c>
      <c r="C120" s="340">
        <f t="shared" si="5"/>
        <v>2094</v>
      </c>
      <c r="D120" s="341">
        <f t="shared" si="3"/>
        <v>-0.1865</v>
      </c>
      <c r="E120" s="341">
        <f t="shared" ca="1" si="4"/>
        <v>-2.7400000000000001E-2</v>
      </c>
    </row>
    <row r="121" spans="1:5" x14ac:dyDescent="0.45">
      <c r="A121" s="185">
        <v>2087</v>
      </c>
      <c r="B121" s="188">
        <v>0.18559999999999999</v>
      </c>
      <c r="C121" s="340">
        <f t="shared" si="5"/>
        <v>2095</v>
      </c>
      <c r="D121" s="341">
        <f t="shared" si="3"/>
        <v>0.16</v>
      </c>
      <c r="E121" s="341">
        <f t="shared" ca="1" si="4"/>
        <v>3.3599999999999998E-2</v>
      </c>
    </row>
    <row r="122" spans="1:5" x14ac:dyDescent="0.45">
      <c r="A122" s="185">
        <v>2088</v>
      </c>
      <c r="B122" s="188">
        <v>1.77E-2</v>
      </c>
      <c r="C122" s="340">
        <f t="shared" si="5"/>
        <v>2096</v>
      </c>
      <c r="D122" s="341">
        <f t="shared" si="3"/>
        <v>-7.1399999999999991E-2</v>
      </c>
      <c r="E122" s="341">
        <f t="shared" ca="1" si="4"/>
        <v>-2.46E-2</v>
      </c>
    </row>
    <row r="123" spans="1:5" x14ac:dyDescent="0.45">
      <c r="A123" s="185">
        <v>2089</v>
      </c>
      <c r="B123" s="188">
        <v>0.37020000000000003</v>
      </c>
      <c r="C123" s="340">
        <f t="shared" si="5"/>
        <v>2097</v>
      </c>
      <c r="D123" s="341">
        <f t="shared" si="3"/>
        <v>0.2039</v>
      </c>
      <c r="E123" s="341">
        <f t="shared" ca="1" si="4"/>
        <v>0.1318</v>
      </c>
    </row>
    <row r="124" spans="1:5" x14ac:dyDescent="0.45">
      <c r="A124" s="185">
        <v>2090</v>
      </c>
      <c r="B124" s="188">
        <v>0.3911</v>
      </c>
      <c r="C124" s="340">
        <f t="shared" si="5"/>
        <v>2098</v>
      </c>
      <c r="D124" s="341">
        <f t="shared" si="3"/>
        <v>3.3599999999999998E-2</v>
      </c>
      <c r="E124" s="341">
        <f t="shared" ca="1" si="4"/>
        <v>-7.9199999999999993E-2</v>
      </c>
    </row>
    <row r="125" spans="1:5" x14ac:dyDescent="0.45">
      <c r="A125" s="185">
        <v>2091</v>
      </c>
      <c r="B125" s="188">
        <v>0.1434</v>
      </c>
      <c r="C125" s="340">
        <f t="shared" si="5"/>
        <v>2099</v>
      </c>
      <c r="D125" s="341">
        <f t="shared" si="3"/>
        <v>0.187</v>
      </c>
      <c r="E125" s="341">
        <f t="shared" ca="1" si="4"/>
        <v>0.24100000000000002</v>
      </c>
    </row>
    <row r="126" spans="1:5" x14ac:dyDescent="0.45">
      <c r="A126" s="185">
        <v>2092</v>
      </c>
      <c r="B126" s="188">
        <v>0.21190000000000001</v>
      </c>
      <c r="C126" s="340">
        <f t="shared" si="5"/>
        <v>2100</v>
      </c>
      <c r="D126" s="341">
        <f t="shared" si="3"/>
        <v>0.11720000000000001</v>
      </c>
      <c r="E126" s="341">
        <f t="shared" ca="1" si="4"/>
        <v>-0.1865</v>
      </c>
    </row>
    <row r="127" spans="1:5" x14ac:dyDescent="0.45">
      <c r="A127" s="185">
        <v>2093</v>
      </c>
      <c r="B127" s="188">
        <v>0.14749999999999999</v>
      </c>
      <c r="C127" s="340">
        <f t="shared" si="5"/>
        <v>2101</v>
      </c>
      <c r="D127" s="341">
        <f t="shared" si="3"/>
        <v>0.14169999999999999</v>
      </c>
      <c r="E127" s="341">
        <f t="shared" ca="1" si="4"/>
        <v>9.5500000000000002E-2</v>
      </c>
    </row>
    <row r="128" spans="1:5" x14ac:dyDescent="0.45">
      <c r="A128" s="185">
        <v>2094</v>
      </c>
      <c r="B128" s="188">
        <v>-0.1865</v>
      </c>
      <c r="C128" s="340">
        <f t="shared" si="5"/>
        <v>2102</v>
      </c>
      <c r="D128" s="341">
        <f t="shared" si="3"/>
        <v>0.2278</v>
      </c>
      <c r="E128" s="341">
        <f t="shared" ca="1" si="4"/>
        <v>0.30809999999999998</v>
      </c>
    </row>
    <row r="129" spans="1:5" x14ac:dyDescent="0.45">
      <c r="A129" s="185">
        <v>2095</v>
      </c>
      <c r="B129" s="188">
        <v>0.16</v>
      </c>
      <c r="C129" s="340">
        <f t="shared" si="5"/>
        <v>2103</v>
      </c>
      <c r="D129" s="341">
        <f t="shared" si="3"/>
        <v>0.23559999999999998</v>
      </c>
      <c r="E129" s="341">
        <f t="shared" ca="1" si="4"/>
        <v>0.14169999999999999</v>
      </c>
    </row>
    <row r="130" spans="1:5" x14ac:dyDescent="0.45">
      <c r="A130" s="185">
        <v>2096</v>
      </c>
      <c r="B130" s="188">
        <v>-7.1399999999999991E-2</v>
      </c>
      <c r="C130" s="340">
        <f t="shared" si="5"/>
        <v>2104</v>
      </c>
      <c r="D130" s="341">
        <f t="shared" si="3"/>
        <v>-0.14050000000000001</v>
      </c>
      <c r="E130" s="341">
        <f t="shared" ca="1" si="4"/>
        <v>0.21460000000000001</v>
      </c>
    </row>
    <row r="131" spans="1:5" x14ac:dyDescent="0.45">
      <c r="A131" s="185">
        <v>2097</v>
      </c>
      <c r="B131" s="188">
        <v>0.2039</v>
      </c>
      <c r="C131" s="340">
        <f t="shared" si="5"/>
        <v>2105</v>
      </c>
      <c r="D131" s="341">
        <f t="shared" si="3"/>
        <v>-0.17829999999999999</v>
      </c>
      <c r="E131" s="341">
        <f t="shared" ca="1" si="4"/>
        <v>0.15590000000000001</v>
      </c>
    </row>
    <row r="132" spans="1:5" x14ac:dyDescent="0.45">
      <c r="A132" s="185">
        <v>2098</v>
      </c>
      <c r="B132" s="188">
        <v>3.3599999999999998E-2</v>
      </c>
      <c r="C132" s="340">
        <f t="shared" si="5"/>
        <v>2106</v>
      </c>
      <c r="D132" s="341">
        <f t="shared" si="3"/>
        <v>-0.21059999999999998</v>
      </c>
      <c r="E132" s="341">
        <f t="shared" ca="1" si="4"/>
        <v>1.77E-2</v>
      </c>
    </row>
    <row r="133" spans="1:5" x14ac:dyDescent="0.45">
      <c r="A133" s="185">
        <v>2099</v>
      </c>
      <c r="B133" s="188">
        <v>0.187</v>
      </c>
      <c r="C133" s="340">
        <f t="shared" si="5"/>
        <v>2107</v>
      </c>
      <c r="D133" s="341">
        <f t="shared" ref="D133:D184" si="6">VLOOKUP(C133,$A$4:$B$184,2,FALSE)</f>
        <v>0.30809999999999998</v>
      </c>
      <c r="E133" s="341">
        <f t="shared" ref="E133:E184" ca="1" si="7">INDEX($B$4:$B$55,RANDBETWEEN(1,COUNTA($B$4:$B$55)))</f>
        <v>-0.42080000000000001</v>
      </c>
    </row>
    <row r="134" spans="1:5" x14ac:dyDescent="0.45">
      <c r="A134" s="185">
        <v>2100</v>
      </c>
      <c r="B134" s="188">
        <v>0.11720000000000001</v>
      </c>
      <c r="C134" s="340">
        <f t="shared" ref="C134:C184" si="8">C133+1</f>
        <v>2108</v>
      </c>
      <c r="D134" s="341">
        <f t="shared" si="6"/>
        <v>0.12839999999999999</v>
      </c>
      <c r="E134" s="341">
        <f t="shared" ca="1" si="7"/>
        <v>0.2039</v>
      </c>
    </row>
    <row r="135" spans="1:5" x14ac:dyDescent="0.45">
      <c r="A135" s="185">
        <v>2101</v>
      </c>
      <c r="B135" s="188">
        <v>0.14169999999999999</v>
      </c>
      <c r="C135" s="340">
        <f t="shared" si="8"/>
        <v>2109</v>
      </c>
      <c r="D135" s="341">
        <f t="shared" si="6"/>
        <v>7.5600000000000001E-2</v>
      </c>
      <c r="E135" s="341">
        <f t="shared" ca="1" si="7"/>
        <v>0.2278</v>
      </c>
    </row>
    <row r="136" spans="1:5" x14ac:dyDescent="0.45">
      <c r="A136" s="185">
        <v>2102</v>
      </c>
      <c r="B136" s="188">
        <v>0.2278</v>
      </c>
      <c r="C136" s="340">
        <f t="shared" si="8"/>
        <v>2110</v>
      </c>
      <c r="D136" s="341">
        <f t="shared" si="6"/>
        <v>0.17949999999999999</v>
      </c>
      <c r="E136" s="341">
        <f t="shared" ca="1" si="7"/>
        <v>0.15590000000000001</v>
      </c>
    </row>
    <row r="137" spans="1:5" x14ac:dyDescent="0.45">
      <c r="A137" s="185">
        <v>2103</v>
      </c>
      <c r="B137" s="188">
        <v>0.23559999999999998</v>
      </c>
      <c r="C137" s="340">
        <f t="shared" si="8"/>
        <v>2111</v>
      </c>
      <c r="D137" s="341">
        <f t="shared" si="6"/>
        <v>7.0900000000000005E-2</v>
      </c>
      <c r="E137" s="341">
        <f t="shared" ca="1" si="7"/>
        <v>2.9300000000000003E-2</v>
      </c>
    </row>
    <row r="138" spans="1:5" x14ac:dyDescent="0.45">
      <c r="A138" s="185">
        <v>2104</v>
      </c>
      <c r="B138" s="188">
        <v>-0.14050000000000001</v>
      </c>
      <c r="C138" s="340">
        <f t="shared" si="8"/>
        <v>2112</v>
      </c>
      <c r="D138" s="341">
        <f t="shared" si="6"/>
        <v>-0.42080000000000001</v>
      </c>
      <c r="E138" s="341">
        <f t="shared" ca="1" si="7"/>
        <v>-0.42080000000000001</v>
      </c>
    </row>
    <row r="139" spans="1:5" x14ac:dyDescent="0.45">
      <c r="A139" s="185">
        <v>2105</v>
      </c>
      <c r="B139" s="188">
        <v>-0.17829999999999999</v>
      </c>
      <c r="C139" s="340">
        <f t="shared" si="8"/>
        <v>2113</v>
      </c>
      <c r="D139" s="341">
        <f t="shared" si="6"/>
        <v>0.26979999999999998</v>
      </c>
      <c r="E139" s="341">
        <f t="shared" ca="1" si="7"/>
        <v>7.5600000000000001E-2</v>
      </c>
    </row>
    <row r="140" spans="1:5" x14ac:dyDescent="0.45">
      <c r="A140" s="185">
        <v>2106</v>
      </c>
      <c r="B140" s="188">
        <v>-0.21059999999999998</v>
      </c>
      <c r="C140" s="340">
        <f t="shared" si="8"/>
        <v>2114</v>
      </c>
      <c r="D140" s="341">
        <f t="shared" si="6"/>
        <v>9.5500000000000002E-2</v>
      </c>
      <c r="E140" s="341">
        <f t="shared" ca="1" si="7"/>
        <v>1.77E-2</v>
      </c>
    </row>
    <row r="141" spans="1:5" x14ac:dyDescent="0.45">
      <c r="A141" s="185">
        <v>2107</v>
      </c>
      <c r="B141" s="188">
        <v>0.30809999999999998</v>
      </c>
      <c r="C141" s="340">
        <f t="shared" si="8"/>
        <v>2115</v>
      </c>
      <c r="D141" s="341">
        <f t="shared" si="6"/>
        <v>-7.6100000000000001E-2</v>
      </c>
      <c r="E141" s="341">
        <f t="shared" ca="1" si="7"/>
        <v>0.1268</v>
      </c>
    </row>
    <row r="142" spans="1:5" x14ac:dyDescent="0.45">
      <c r="A142" s="185">
        <v>2108</v>
      </c>
      <c r="B142" s="188">
        <v>0.12839999999999999</v>
      </c>
      <c r="C142" s="340">
        <f t="shared" si="8"/>
        <v>2116</v>
      </c>
      <c r="D142" s="341">
        <f t="shared" si="6"/>
        <v>0.1318</v>
      </c>
      <c r="E142" s="341">
        <f t="shared" ca="1" si="7"/>
        <v>0.1406</v>
      </c>
    </row>
    <row r="143" spans="1:5" x14ac:dyDescent="0.45">
      <c r="A143" s="185">
        <v>2109</v>
      </c>
      <c r="B143" s="188">
        <v>7.5600000000000001E-2</v>
      </c>
      <c r="C143" s="340">
        <f t="shared" si="8"/>
        <v>2117</v>
      </c>
      <c r="D143" s="341">
        <f t="shared" si="6"/>
        <v>0.24100000000000002</v>
      </c>
      <c r="E143" s="341">
        <f t="shared" ca="1" si="7"/>
        <v>0.11720000000000001</v>
      </c>
    </row>
    <row r="144" spans="1:5" x14ac:dyDescent="0.45">
      <c r="A144" s="185">
        <v>2110</v>
      </c>
      <c r="B144" s="188">
        <v>0.17949999999999999</v>
      </c>
      <c r="C144" s="340">
        <f t="shared" si="8"/>
        <v>2118</v>
      </c>
      <c r="D144" s="341">
        <f t="shared" si="6"/>
        <v>2.9300000000000003E-2</v>
      </c>
      <c r="E144" s="341">
        <f t="shared" ca="1" si="7"/>
        <v>-5.7099999999999998E-2</v>
      </c>
    </row>
    <row r="145" spans="1:5" x14ac:dyDescent="0.45">
      <c r="A145" s="185">
        <v>2111</v>
      </c>
      <c r="B145" s="188">
        <v>7.0900000000000005E-2</v>
      </c>
      <c r="C145" s="340">
        <f t="shared" si="8"/>
        <v>2119</v>
      </c>
      <c r="D145" s="341">
        <f t="shared" si="6"/>
        <v>-2.7400000000000001E-2</v>
      </c>
      <c r="E145" s="341">
        <f t="shared" ca="1" si="7"/>
        <v>-7.1399999999999991E-2</v>
      </c>
    </row>
    <row r="146" spans="1:5" x14ac:dyDescent="0.45">
      <c r="A146" s="185">
        <v>2112</v>
      </c>
      <c r="B146" s="188">
        <v>-0.42080000000000001</v>
      </c>
      <c r="C146" s="340">
        <f t="shared" si="8"/>
        <v>2120</v>
      </c>
      <c r="D146" s="341">
        <f t="shared" si="6"/>
        <v>5.3200000000000004E-2</v>
      </c>
      <c r="E146" s="341">
        <f t="shared" ca="1" si="7"/>
        <v>7.5600000000000001E-2</v>
      </c>
    </row>
    <row r="147" spans="1:5" x14ac:dyDescent="0.45">
      <c r="A147" s="185">
        <v>2113</v>
      </c>
      <c r="B147" s="188">
        <v>0.26979999999999998</v>
      </c>
      <c r="C147" s="340">
        <f t="shared" si="8"/>
        <v>2121</v>
      </c>
      <c r="D147" s="341">
        <f t="shared" si="6"/>
        <v>0.2011</v>
      </c>
      <c r="E147" s="341">
        <f t="shared" ca="1" si="7"/>
        <v>0.2039</v>
      </c>
    </row>
    <row r="148" spans="1:5" x14ac:dyDescent="0.45">
      <c r="A148" s="185">
        <v>2114</v>
      </c>
      <c r="B148" s="188">
        <v>9.5500000000000002E-2</v>
      </c>
      <c r="C148" s="340">
        <f t="shared" si="8"/>
        <v>2122</v>
      </c>
      <c r="D148" s="341">
        <f t="shared" si="6"/>
        <v>-0.10439999999999999</v>
      </c>
      <c r="E148" s="341">
        <f t="shared" ca="1" si="7"/>
        <v>2.9300000000000003E-2</v>
      </c>
    </row>
    <row r="149" spans="1:5" x14ac:dyDescent="0.45">
      <c r="A149" s="185">
        <v>2115</v>
      </c>
      <c r="B149" s="188">
        <v>-7.6100000000000001E-2</v>
      </c>
      <c r="C149" s="340">
        <f t="shared" si="8"/>
        <v>2123</v>
      </c>
      <c r="D149" s="341">
        <f t="shared" si="6"/>
        <v>0.25190000000000001</v>
      </c>
      <c r="E149" s="341">
        <f t="shared" ca="1" si="7"/>
        <v>0.21190000000000001</v>
      </c>
    </row>
    <row r="150" spans="1:5" x14ac:dyDescent="0.45">
      <c r="A150" s="185">
        <v>2116</v>
      </c>
      <c r="B150" s="188">
        <v>0.1318</v>
      </c>
      <c r="C150" s="340">
        <f t="shared" si="8"/>
        <v>2124</v>
      </c>
      <c r="D150" s="341">
        <f t="shared" si="6"/>
        <v>0.1406</v>
      </c>
      <c r="E150" s="341">
        <f t="shared" ca="1" si="7"/>
        <v>0.37020000000000003</v>
      </c>
    </row>
    <row r="151" spans="1:5" x14ac:dyDescent="0.45">
      <c r="A151" s="185">
        <v>2117</v>
      </c>
      <c r="B151" s="188">
        <v>0.24100000000000002</v>
      </c>
      <c r="C151" s="340">
        <f t="shared" si="8"/>
        <v>2125</v>
      </c>
      <c r="D151" s="341">
        <f t="shared" si="6"/>
        <v>0.2014</v>
      </c>
      <c r="E151" s="341">
        <f t="shared" ca="1" si="7"/>
        <v>0.2014</v>
      </c>
    </row>
    <row r="152" spans="1:5" x14ac:dyDescent="0.45">
      <c r="A152" s="185">
        <v>2118</v>
      </c>
      <c r="B152" s="188">
        <v>2.9300000000000003E-2</v>
      </c>
      <c r="C152" s="340">
        <f t="shared" si="8"/>
        <v>2126</v>
      </c>
      <c r="D152" s="341">
        <f t="shared" si="6"/>
        <v>-5.7099999999999998E-2</v>
      </c>
      <c r="E152" s="341">
        <f t="shared" ca="1" si="7"/>
        <v>0.24100000000000002</v>
      </c>
    </row>
    <row r="153" spans="1:5" x14ac:dyDescent="0.45">
      <c r="A153" s="185">
        <v>2119</v>
      </c>
      <c r="B153" s="188">
        <v>-2.7400000000000001E-2</v>
      </c>
      <c r="C153" s="340">
        <f t="shared" si="8"/>
        <v>2127</v>
      </c>
      <c r="D153" s="341">
        <f t="shared" si="6"/>
        <v>0.15590000000000001</v>
      </c>
      <c r="E153" s="341">
        <f t="shared" ca="1" si="7"/>
        <v>2.9300000000000003E-2</v>
      </c>
    </row>
    <row r="154" spans="1:5" x14ac:dyDescent="0.45">
      <c r="A154" s="185">
        <v>2120</v>
      </c>
      <c r="B154" s="188">
        <v>5.3200000000000004E-2</v>
      </c>
      <c r="C154" s="340">
        <f t="shared" si="8"/>
        <v>2128</v>
      </c>
      <c r="D154" s="341">
        <f t="shared" si="6"/>
        <v>0.1996</v>
      </c>
      <c r="E154" s="341">
        <f t="shared" ca="1" si="7"/>
        <v>-5.7099999999999998E-2</v>
      </c>
    </row>
    <row r="155" spans="1:5" x14ac:dyDescent="0.45">
      <c r="A155" s="185">
        <v>2121</v>
      </c>
      <c r="B155" s="188">
        <v>0.2011</v>
      </c>
      <c r="C155" s="340">
        <f t="shared" si="8"/>
        <v>2129</v>
      </c>
      <c r="D155" s="341">
        <f t="shared" si="6"/>
        <v>-0.17079999999999998</v>
      </c>
      <c r="E155" s="341">
        <f t="shared" ca="1" si="7"/>
        <v>2.9300000000000003E-2</v>
      </c>
    </row>
    <row r="156" spans="1:5" x14ac:dyDescent="0.45">
      <c r="A156" s="185">
        <v>2122</v>
      </c>
      <c r="B156" s="188">
        <v>-0.10439999999999999</v>
      </c>
      <c r="C156" s="340">
        <f t="shared" si="8"/>
        <v>2130</v>
      </c>
      <c r="D156" s="341">
        <f t="shared" si="6"/>
        <v>-0.27829999999999999</v>
      </c>
      <c r="E156" s="341">
        <f t="shared" ca="1" si="7"/>
        <v>0.2011</v>
      </c>
    </row>
    <row r="157" spans="1:5" x14ac:dyDescent="0.45">
      <c r="A157" s="185">
        <v>2123</v>
      </c>
      <c r="B157" s="188">
        <v>0.25190000000000001</v>
      </c>
      <c r="C157" s="340">
        <f t="shared" si="8"/>
        <v>2131</v>
      </c>
      <c r="D157" s="341">
        <f t="shared" si="6"/>
        <v>0.28910000000000002</v>
      </c>
      <c r="E157" s="341">
        <f t="shared" ca="1" si="7"/>
        <v>-5.7099999999999998E-2</v>
      </c>
    </row>
    <row r="158" spans="1:5" x14ac:dyDescent="0.45">
      <c r="A158" s="185">
        <v>2124</v>
      </c>
      <c r="B158" s="188">
        <v>0.1406</v>
      </c>
      <c r="C158" s="340">
        <f t="shared" si="8"/>
        <v>2132</v>
      </c>
      <c r="D158" s="341">
        <f t="shared" si="6"/>
        <v>0.10310000000000001</v>
      </c>
      <c r="E158" s="341">
        <f t="shared" ca="1" si="7"/>
        <v>-7.1399999999999991E-2</v>
      </c>
    </row>
    <row r="159" spans="1:5" x14ac:dyDescent="0.45">
      <c r="A159" s="185">
        <v>2125</v>
      </c>
      <c r="B159" s="188">
        <v>0.2014</v>
      </c>
      <c r="C159" s="340">
        <f t="shared" si="8"/>
        <v>2133</v>
      </c>
      <c r="D159" s="341">
        <f t="shared" si="6"/>
        <v>-2.46E-2</v>
      </c>
      <c r="E159" s="341">
        <f t="shared" ca="1" si="7"/>
        <v>-7.9199999999999993E-2</v>
      </c>
    </row>
    <row r="160" spans="1:5" x14ac:dyDescent="0.45">
      <c r="A160" s="186">
        <v>2126</v>
      </c>
      <c r="B160" s="187">
        <v>-5.7099999999999998E-2</v>
      </c>
      <c r="C160" s="340">
        <f t="shared" si="8"/>
        <v>2134</v>
      </c>
      <c r="D160" s="341">
        <f t="shared" si="6"/>
        <v>0.1268</v>
      </c>
      <c r="E160" s="341">
        <f t="shared" ca="1" si="7"/>
        <v>0.21190000000000001</v>
      </c>
    </row>
    <row r="161" spans="1:5" x14ac:dyDescent="0.45">
      <c r="A161" s="185">
        <v>2127</v>
      </c>
      <c r="B161" s="188">
        <v>0.15590000000000001</v>
      </c>
      <c r="C161" s="340">
        <f t="shared" si="8"/>
        <v>2135</v>
      </c>
      <c r="D161" s="341">
        <f t="shared" si="6"/>
        <v>7.2099999999999997E-2</v>
      </c>
      <c r="E161" s="341">
        <f t="shared" ca="1" si="7"/>
        <v>0.18559999999999999</v>
      </c>
    </row>
    <row r="162" spans="1:5" x14ac:dyDescent="0.45">
      <c r="A162" s="185">
        <v>2128</v>
      </c>
      <c r="B162" s="188">
        <v>0.1996</v>
      </c>
      <c r="C162" s="340">
        <f t="shared" si="8"/>
        <v>2136</v>
      </c>
      <c r="D162" s="341">
        <f t="shared" si="6"/>
        <v>0.21460000000000001</v>
      </c>
      <c r="E162" s="341">
        <f t="shared" ca="1" si="7"/>
        <v>-2.46E-2</v>
      </c>
    </row>
    <row r="163" spans="1:5" x14ac:dyDescent="0.45">
      <c r="A163" s="185">
        <v>2129</v>
      </c>
      <c r="B163" s="188">
        <v>-0.17079999999999998</v>
      </c>
      <c r="C163" s="340">
        <f t="shared" si="8"/>
        <v>2137</v>
      </c>
      <c r="D163" s="341">
        <f t="shared" si="6"/>
        <v>-7.9199999999999993E-2</v>
      </c>
      <c r="E163" s="341">
        <f t="shared" ca="1" si="7"/>
        <v>-7.1399999999999991E-2</v>
      </c>
    </row>
    <row r="164" spans="1:5" x14ac:dyDescent="0.45">
      <c r="A164" s="185">
        <v>2130</v>
      </c>
      <c r="B164" s="188">
        <v>-0.27829999999999999</v>
      </c>
      <c r="C164" s="340">
        <f t="shared" si="8"/>
        <v>2138</v>
      </c>
      <c r="D164" s="341">
        <f t="shared" si="6"/>
        <v>5.8200000000000002E-2</v>
      </c>
      <c r="E164" s="341">
        <f t="shared" ca="1" si="7"/>
        <v>-7.6100000000000001E-2</v>
      </c>
    </row>
    <row r="165" spans="1:5" x14ac:dyDescent="0.45">
      <c r="A165" s="185">
        <v>2131</v>
      </c>
      <c r="B165" s="188">
        <v>0.28910000000000002</v>
      </c>
      <c r="C165" s="340">
        <f t="shared" si="8"/>
        <v>2139</v>
      </c>
      <c r="D165" s="341">
        <f t="shared" si="6"/>
        <v>0.18559999999999999</v>
      </c>
      <c r="E165" s="341">
        <f t="shared" ca="1" si="7"/>
        <v>0.1434</v>
      </c>
    </row>
    <row r="166" spans="1:5" x14ac:dyDescent="0.45">
      <c r="A166" s="185">
        <v>2132</v>
      </c>
      <c r="B166" s="188">
        <v>0.10310000000000001</v>
      </c>
      <c r="C166" s="340">
        <f t="shared" si="8"/>
        <v>2140</v>
      </c>
      <c r="D166" s="341">
        <f t="shared" si="6"/>
        <v>1.77E-2</v>
      </c>
      <c r="E166" s="341">
        <f t="shared" ca="1" si="7"/>
        <v>0.21460000000000001</v>
      </c>
    </row>
    <row r="167" spans="1:5" x14ac:dyDescent="0.45">
      <c r="A167" s="185">
        <v>2133</v>
      </c>
      <c r="B167" s="188">
        <v>-2.46E-2</v>
      </c>
      <c r="C167" s="340">
        <f t="shared" si="8"/>
        <v>2141</v>
      </c>
      <c r="D167" s="341">
        <f t="shared" si="6"/>
        <v>0.37020000000000003</v>
      </c>
      <c r="E167" s="341">
        <f t="shared" ca="1" si="7"/>
        <v>-7.6100000000000001E-2</v>
      </c>
    </row>
    <row r="168" spans="1:5" x14ac:dyDescent="0.45">
      <c r="A168" s="185">
        <v>2134</v>
      </c>
      <c r="B168" s="188">
        <v>0.1268</v>
      </c>
      <c r="C168" s="340">
        <f t="shared" si="8"/>
        <v>2142</v>
      </c>
      <c r="D168" s="341">
        <f t="shared" si="6"/>
        <v>0.3911</v>
      </c>
      <c r="E168" s="341">
        <f t="shared" ca="1" si="7"/>
        <v>-2.7400000000000001E-2</v>
      </c>
    </row>
    <row r="169" spans="1:5" x14ac:dyDescent="0.45">
      <c r="A169" s="185">
        <v>2135</v>
      </c>
      <c r="B169" s="188">
        <v>7.2099999999999997E-2</v>
      </c>
      <c r="C169" s="340">
        <f t="shared" si="8"/>
        <v>2143</v>
      </c>
      <c r="D169" s="341">
        <f t="shared" si="6"/>
        <v>0.1434</v>
      </c>
      <c r="E169" s="341">
        <f t="shared" ca="1" si="7"/>
        <v>0.3911</v>
      </c>
    </row>
    <row r="170" spans="1:5" x14ac:dyDescent="0.45">
      <c r="A170" s="185">
        <v>2136</v>
      </c>
      <c r="B170" s="188">
        <v>0.21460000000000001</v>
      </c>
      <c r="C170" s="340">
        <f t="shared" si="8"/>
        <v>2144</v>
      </c>
      <c r="D170" s="341">
        <f t="shared" si="6"/>
        <v>0.21190000000000001</v>
      </c>
      <c r="E170" s="341">
        <f t="shared" ca="1" si="7"/>
        <v>-7.9199999999999993E-2</v>
      </c>
    </row>
    <row r="171" spans="1:5" x14ac:dyDescent="0.45">
      <c r="A171" s="185">
        <v>2137</v>
      </c>
      <c r="B171" s="188">
        <v>-7.9199999999999993E-2</v>
      </c>
      <c r="C171" s="340">
        <f t="shared" si="8"/>
        <v>2145</v>
      </c>
      <c r="D171" s="341">
        <f t="shared" si="6"/>
        <v>0.14749999999999999</v>
      </c>
      <c r="E171" s="341">
        <f t="shared" ca="1" si="7"/>
        <v>0.23559999999999998</v>
      </c>
    </row>
    <row r="172" spans="1:5" x14ac:dyDescent="0.45">
      <c r="A172" s="185">
        <v>2138</v>
      </c>
      <c r="B172" s="188">
        <v>5.8200000000000002E-2</v>
      </c>
      <c r="C172" s="340">
        <f t="shared" si="8"/>
        <v>2146</v>
      </c>
      <c r="D172" s="341">
        <f t="shared" si="6"/>
        <v>-0.1865</v>
      </c>
      <c r="E172" s="341">
        <f t="shared" ca="1" si="7"/>
        <v>0.16</v>
      </c>
    </row>
    <row r="173" spans="1:5" x14ac:dyDescent="0.45">
      <c r="A173" s="185">
        <v>2139</v>
      </c>
      <c r="B173" s="188">
        <v>0.18559999999999999</v>
      </c>
      <c r="C173" s="340">
        <f t="shared" si="8"/>
        <v>2147</v>
      </c>
      <c r="D173" s="341">
        <f t="shared" si="6"/>
        <v>0.16</v>
      </c>
      <c r="E173" s="341">
        <f t="shared" ca="1" si="7"/>
        <v>1.77E-2</v>
      </c>
    </row>
    <row r="174" spans="1:5" x14ac:dyDescent="0.45">
      <c r="A174" s="185">
        <v>2140</v>
      </c>
      <c r="B174" s="188">
        <v>1.77E-2</v>
      </c>
      <c r="C174" s="340">
        <f t="shared" si="8"/>
        <v>2148</v>
      </c>
      <c r="D174" s="341">
        <f t="shared" si="6"/>
        <v>-7.1399999999999991E-2</v>
      </c>
      <c r="E174" s="341">
        <f t="shared" ca="1" si="7"/>
        <v>-7.6100000000000001E-2</v>
      </c>
    </row>
    <row r="175" spans="1:5" x14ac:dyDescent="0.45">
      <c r="A175" s="185">
        <v>2141</v>
      </c>
      <c r="B175" s="188">
        <v>0.37020000000000003</v>
      </c>
      <c r="C175" s="340">
        <f t="shared" si="8"/>
        <v>2149</v>
      </c>
      <c r="D175" s="341">
        <f t="shared" si="6"/>
        <v>0.2039</v>
      </c>
      <c r="E175" s="341">
        <f t="shared" ca="1" si="7"/>
        <v>0.37020000000000003</v>
      </c>
    </row>
    <row r="176" spans="1:5" x14ac:dyDescent="0.45">
      <c r="A176" s="185">
        <v>2142</v>
      </c>
      <c r="B176" s="188">
        <v>0.3911</v>
      </c>
      <c r="C176" s="340">
        <f t="shared" si="8"/>
        <v>2150</v>
      </c>
      <c r="D176" s="341">
        <f t="shared" si="6"/>
        <v>3.3599999999999998E-2</v>
      </c>
      <c r="E176" s="341">
        <f t="shared" ca="1" si="7"/>
        <v>1.77E-2</v>
      </c>
    </row>
    <row r="177" spans="1:5" x14ac:dyDescent="0.45">
      <c r="A177" s="185">
        <v>2143</v>
      </c>
      <c r="B177" s="188">
        <v>0.1434</v>
      </c>
      <c r="C177" s="340">
        <f t="shared" si="8"/>
        <v>2151</v>
      </c>
      <c r="D177" s="341" t="e">
        <f t="shared" si="6"/>
        <v>#N/A</v>
      </c>
      <c r="E177" s="341">
        <f t="shared" ca="1" si="7"/>
        <v>-7.6100000000000001E-2</v>
      </c>
    </row>
    <row r="178" spans="1:5" x14ac:dyDescent="0.45">
      <c r="A178" s="185">
        <v>2144</v>
      </c>
      <c r="B178" s="188">
        <v>0.21190000000000001</v>
      </c>
      <c r="C178" s="340">
        <f t="shared" si="8"/>
        <v>2152</v>
      </c>
      <c r="D178" s="341" t="e">
        <f t="shared" si="6"/>
        <v>#N/A</v>
      </c>
      <c r="E178" s="341">
        <f t="shared" ca="1" si="7"/>
        <v>-0.14050000000000001</v>
      </c>
    </row>
    <row r="179" spans="1:5" x14ac:dyDescent="0.45">
      <c r="A179" s="185">
        <v>2145</v>
      </c>
      <c r="B179" s="188">
        <v>0.14749999999999999</v>
      </c>
      <c r="C179" s="340">
        <f t="shared" si="8"/>
        <v>2153</v>
      </c>
      <c r="D179" s="341" t="e">
        <f t="shared" si="6"/>
        <v>#N/A</v>
      </c>
      <c r="E179" s="341">
        <f t="shared" ca="1" si="7"/>
        <v>0.187</v>
      </c>
    </row>
    <row r="180" spans="1:5" x14ac:dyDescent="0.45">
      <c r="A180" s="185">
        <v>2146</v>
      </c>
      <c r="B180" s="188">
        <v>-0.1865</v>
      </c>
      <c r="C180" s="340">
        <f t="shared" si="8"/>
        <v>2154</v>
      </c>
      <c r="D180" s="341" t="e">
        <f t="shared" si="6"/>
        <v>#N/A</v>
      </c>
      <c r="E180" s="341">
        <f t="shared" ca="1" si="7"/>
        <v>0.2011</v>
      </c>
    </row>
    <row r="181" spans="1:5" x14ac:dyDescent="0.45">
      <c r="A181" s="185">
        <v>2147</v>
      </c>
      <c r="B181" s="188">
        <v>0.16</v>
      </c>
      <c r="C181" s="340">
        <f t="shared" si="8"/>
        <v>2155</v>
      </c>
      <c r="D181" s="341" t="e">
        <f t="shared" si="6"/>
        <v>#N/A</v>
      </c>
      <c r="E181" s="341">
        <f t="shared" ca="1" si="7"/>
        <v>0.2278</v>
      </c>
    </row>
    <row r="182" spans="1:5" x14ac:dyDescent="0.45">
      <c r="A182" s="185">
        <v>2148</v>
      </c>
      <c r="B182" s="188">
        <v>-7.1399999999999991E-2</v>
      </c>
      <c r="C182" s="340">
        <f t="shared" si="8"/>
        <v>2156</v>
      </c>
      <c r="D182" s="341" t="e">
        <f t="shared" si="6"/>
        <v>#N/A</v>
      </c>
      <c r="E182" s="341">
        <f t="shared" ca="1" si="7"/>
        <v>0.3911</v>
      </c>
    </row>
    <row r="183" spans="1:5" x14ac:dyDescent="0.45">
      <c r="A183" s="185">
        <v>2149</v>
      </c>
      <c r="B183" s="188">
        <v>0.2039</v>
      </c>
      <c r="C183" s="340">
        <f t="shared" si="8"/>
        <v>2157</v>
      </c>
      <c r="D183" s="341" t="e">
        <f t="shared" si="6"/>
        <v>#N/A</v>
      </c>
      <c r="E183" s="341">
        <f t="shared" ca="1" si="7"/>
        <v>3.3599999999999998E-2</v>
      </c>
    </row>
    <row r="184" spans="1:5" x14ac:dyDescent="0.45">
      <c r="A184" s="185">
        <v>2150</v>
      </c>
      <c r="B184" s="188">
        <v>3.3599999999999998E-2</v>
      </c>
      <c r="C184" s="340">
        <f t="shared" si="8"/>
        <v>2158</v>
      </c>
      <c r="D184" s="341" t="e">
        <f t="shared" si="6"/>
        <v>#N/A</v>
      </c>
      <c r="E184" s="341">
        <f t="shared" ca="1" si="7"/>
        <v>0.14169999999999999</v>
      </c>
    </row>
    <row r="185" spans="1:5" x14ac:dyDescent="0.45">
      <c r="B185" s="184"/>
    </row>
    <row r="186" spans="1:5" x14ac:dyDescent="0.45">
      <c r="B186" s="184"/>
    </row>
    <row r="187" spans="1:5" x14ac:dyDescent="0.45">
      <c r="B187" s="184"/>
    </row>
    <row r="188" spans="1:5" x14ac:dyDescent="0.45">
      <c r="B188" s="184"/>
    </row>
    <row r="189" spans="1:5" x14ac:dyDescent="0.45">
      <c r="B189" s="184"/>
    </row>
    <row r="190" spans="1:5" x14ac:dyDescent="0.45">
      <c r="B190" s="184"/>
    </row>
    <row r="191" spans="1:5" x14ac:dyDescent="0.45">
      <c r="B191" s="184"/>
    </row>
    <row r="192" spans="1:5" x14ac:dyDescent="0.45">
      <c r="B192" s="184"/>
    </row>
    <row r="193" spans="2:2" x14ac:dyDescent="0.45">
      <c r="B193" s="184"/>
    </row>
    <row r="194" spans="2:2" x14ac:dyDescent="0.45">
      <c r="B194" s="184"/>
    </row>
    <row r="195" spans="2:2" x14ac:dyDescent="0.45">
      <c r="B195" s="184"/>
    </row>
    <row r="196" spans="2:2" x14ac:dyDescent="0.45">
      <c r="B196" s="184"/>
    </row>
    <row r="197" spans="2:2" x14ac:dyDescent="0.45">
      <c r="B197" s="184"/>
    </row>
    <row r="198" spans="2:2" x14ac:dyDescent="0.45">
      <c r="B198" s="184"/>
    </row>
    <row r="199" spans="2:2" x14ac:dyDescent="0.45">
      <c r="B199" s="184"/>
    </row>
    <row r="200" spans="2:2" x14ac:dyDescent="0.45">
      <c r="B200" s="184"/>
    </row>
    <row r="201" spans="2:2" x14ac:dyDescent="0.45">
      <c r="B201" s="184"/>
    </row>
    <row r="202" spans="2:2" x14ac:dyDescent="0.45">
      <c r="B202" s="184"/>
    </row>
    <row r="203" spans="2:2" x14ac:dyDescent="0.45">
      <c r="B203" s="184"/>
    </row>
    <row r="204" spans="2:2" x14ac:dyDescent="0.45">
      <c r="B204" s="184"/>
    </row>
    <row r="205" spans="2:2" x14ac:dyDescent="0.45">
      <c r="B205" s="184"/>
    </row>
    <row r="206" spans="2:2" x14ac:dyDescent="0.45">
      <c r="B206" s="184"/>
    </row>
    <row r="207" spans="2:2" x14ac:dyDescent="0.45">
      <c r="B207" s="184"/>
    </row>
    <row r="208" spans="2:2" x14ac:dyDescent="0.45">
      <c r="B208" s="184"/>
    </row>
    <row r="209" spans="2:2" x14ac:dyDescent="0.45">
      <c r="B209" s="184"/>
    </row>
    <row r="210" spans="2:2" x14ac:dyDescent="0.45">
      <c r="B210" s="184"/>
    </row>
    <row r="211" spans="2:2" x14ac:dyDescent="0.45">
      <c r="B211" s="184"/>
    </row>
  </sheetData>
  <sheetProtection algorithmName="SHA-512" hashValue="XJyJmU7xVjhEM3Yi1ybBV4E4nSPnMROeAv/ofsGum3HVy+SY1BHkOd6FLbQS7HlLo5BEZWFQ3/L5B9uT3kn9ug==" saltValue="hxAAeH22cElppvNU2suphA==" spinCount="100000" sheet="1" objects="1" scenarios="1"/>
  <mergeCells count="2">
    <mergeCell ref="A2:B2"/>
    <mergeCell ref="C2:D2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499984740745262"/>
  </sheetPr>
  <dimension ref="B2:E32"/>
  <sheetViews>
    <sheetView workbookViewId="0">
      <selection activeCell="H35" sqref="H35"/>
    </sheetView>
  </sheetViews>
  <sheetFormatPr baseColWidth="10" defaultRowHeight="14.25" x14ac:dyDescent="0.45"/>
  <sheetData>
    <row r="2" spans="2:2" x14ac:dyDescent="0.45">
      <c r="B2" t="s">
        <v>119</v>
      </c>
    </row>
    <row r="19" spans="2:5" x14ac:dyDescent="0.45">
      <c r="B19" s="313">
        <v>2022</v>
      </c>
      <c r="C19" s="313"/>
      <c r="D19" s="313"/>
      <c r="E19" s="313"/>
    </row>
    <row r="20" spans="2:5" x14ac:dyDescent="0.45">
      <c r="B20" s="314"/>
      <c r="C20" s="314"/>
      <c r="D20" s="314"/>
      <c r="E20" s="314"/>
    </row>
    <row r="21" spans="2:5" ht="23.25" x14ac:dyDescent="0.45">
      <c r="B21" s="150" t="s">
        <v>120</v>
      </c>
      <c r="C21" s="150" t="s">
        <v>121</v>
      </c>
      <c r="D21" s="150" t="s">
        <v>122</v>
      </c>
      <c r="E21" s="150" t="s">
        <v>123</v>
      </c>
    </row>
    <row r="22" spans="2:5" x14ac:dyDescent="0.45">
      <c r="B22" s="151">
        <v>7500</v>
      </c>
      <c r="C22" s="152">
        <v>0</v>
      </c>
      <c r="D22" s="153">
        <v>0</v>
      </c>
      <c r="E22" s="153">
        <v>0</v>
      </c>
    </row>
    <row r="23" spans="2:5" x14ac:dyDescent="0.45">
      <c r="B23" s="154">
        <v>12500</v>
      </c>
      <c r="C23" s="155">
        <v>416</v>
      </c>
      <c r="D23" s="156">
        <v>3.3300000000000003E-2</v>
      </c>
      <c r="E23" s="156">
        <v>0.1908</v>
      </c>
    </row>
    <row r="24" spans="2:5" x14ac:dyDescent="0.45">
      <c r="B24" s="151">
        <v>17500</v>
      </c>
      <c r="C24" s="151">
        <v>1568</v>
      </c>
      <c r="D24" s="153">
        <v>8.9599999999999999E-2</v>
      </c>
      <c r="E24" s="153">
        <v>0.25030000000000002</v>
      </c>
    </row>
    <row r="25" spans="2:5" x14ac:dyDescent="0.45">
      <c r="B25" s="154">
        <v>22500</v>
      </c>
      <c r="C25" s="154">
        <v>2872</v>
      </c>
      <c r="D25" s="156">
        <v>0.12759999999999999</v>
      </c>
      <c r="E25" s="156">
        <v>0.27100000000000002</v>
      </c>
    </row>
    <row r="26" spans="2:5" x14ac:dyDescent="0.45">
      <c r="B26" s="151">
        <v>27500</v>
      </c>
      <c r="C26" s="151">
        <v>4278</v>
      </c>
      <c r="D26" s="153">
        <v>0.15559999999999999</v>
      </c>
      <c r="E26" s="153">
        <v>0.29160000000000003</v>
      </c>
    </row>
    <row r="27" spans="2:5" x14ac:dyDescent="0.45">
      <c r="B27" s="154">
        <v>32500</v>
      </c>
      <c r="C27" s="154">
        <v>5788</v>
      </c>
      <c r="D27" s="156">
        <v>0.17810000000000001</v>
      </c>
      <c r="E27" s="156">
        <v>0.31230000000000002</v>
      </c>
    </row>
    <row r="28" spans="2:5" x14ac:dyDescent="0.45">
      <c r="B28" s="151">
        <v>37500</v>
      </c>
      <c r="C28" s="151">
        <v>7401</v>
      </c>
      <c r="D28" s="153">
        <v>0.19739999999999999</v>
      </c>
      <c r="E28" s="153">
        <v>0.33289999999999997</v>
      </c>
    </row>
    <row r="29" spans="2:5" x14ac:dyDescent="0.45">
      <c r="B29" s="154">
        <v>42500</v>
      </c>
      <c r="C29" s="154">
        <v>9117</v>
      </c>
      <c r="D29" s="156">
        <v>0.2145</v>
      </c>
      <c r="E29" s="156">
        <v>0.35349999999999998</v>
      </c>
    </row>
    <row r="30" spans="2:5" x14ac:dyDescent="0.45">
      <c r="B30" s="151">
        <v>47500</v>
      </c>
      <c r="C30" s="151">
        <v>10936</v>
      </c>
      <c r="D30" s="153">
        <v>0.23019999999999999</v>
      </c>
      <c r="E30" s="153">
        <v>0.37419999999999998</v>
      </c>
    </row>
    <row r="31" spans="2:5" x14ac:dyDescent="0.45">
      <c r="B31" s="154">
        <v>52500</v>
      </c>
      <c r="C31" s="154">
        <v>12859</v>
      </c>
      <c r="D31" s="156">
        <v>0.24490000000000001</v>
      </c>
      <c r="E31" s="156">
        <v>0.39479999999999998</v>
      </c>
    </row>
    <row r="32" spans="2:5" x14ac:dyDescent="0.45">
      <c r="B32" s="151">
        <v>57500</v>
      </c>
      <c r="C32" s="151">
        <v>14884</v>
      </c>
      <c r="D32" s="153">
        <v>0.25890000000000002</v>
      </c>
      <c r="E32" s="153">
        <v>0.41549999999999998</v>
      </c>
    </row>
  </sheetData>
  <sheetProtection algorithmName="SHA-512" hashValue="m/Zq2rrrwBMOz7NVjBz00Mfz2kmFn+kop7vtirhRgzMgF6J7Ep699L9raQ0XMnXc+9zTbpiEt7HrCcIars65BQ==" saltValue="ZrfVNGSNnWDkhltSjHzpTA==" spinCount="100000" sheet="1" objects="1" scenarios="1"/>
  <mergeCells count="1">
    <mergeCell ref="B19:E20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FINANZPLAN</vt:lpstr>
      <vt:lpstr>DROPDOWN</vt:lpstr>
      <vt:lpstr>HISTORISCHE RENDITEN</vt:lpstr>
      <vt:lpstr>GRENZSTEUERSÄTZE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Clemens</dc:creator>
  <cp:lastModifiedBy>Clemens</cp:lastModifiedBy>
  <cp:lastPrinted>2022-01-14T20:43:10Z</cp:lastPrinted>
  <dcterms:created xsi:type="dcterms:W3CDTF">2019-01-17T09:49:03Z</dcterms:created>
  <dcterms:modified xsi:type="dcterms:W3CDTF">2022-01-22T10:13:05Z</dcterms:modified>
</cp:coreProperties>
</file>